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EPBACKUP\ecardonar\Documentos\EDWIN\FORMATOS PROYECTOS 2021\Milena y Stefa\Obras civiles pendientes x adjudicar\Obras carlos del rio pendientes\"/>
    </mc:Choice>
  </mc:AlternateContent>
  <xr:revisionPtr revIDLastSave="0" documentId="13_ncr:1_{5751B509-1173-436C-BD29-A2490AD84989}" xr6:coauthVersionLast="47" xr6:coauthVersionMax="47" xr10:uidLastSave="{00000000-0000-0000-0000-000000000000}"/>
  <bookViews>
    <workbookView xWindow="-28920" yWindow="-3900" windowWidth="29040" windowHeight="15840" tabRatio="826" activeTab="1" xr2:uid="{00000000-000D-0000-FFFF-FFFF00000000}"/>
  </bookViews>
  <sheets>
    <sheet name="A.U.  14 A 18" sheetId="33" r:id="rId1"/>
    <sheet name="PRESU (14A18),(11A14+)" sheetId="32" r:id="rId2"/>
    <sheet name="A.U. " sheetId="30" state="hidden" r:id="rId3"/>
    <sheet name="PRESU" sheetId="12" state="hidden" r:id="rId4"/>
    <sheet name="2" sheetId="24" state="hidden" r:id="rId5"/>
    <sheet name="3" sheetId="25" state="hidden" r:id="rId6"/>
    <sheet name="4" sheetId="26" state="hidden" r:id="rId7"/>
    <sheet name="5" sheetId="28" state="hidden" r:id="rId8"/>
    <sheet name="6" sheetId="29" state="hidden" r:id="rId9"/>
    <sheet name="APUS OCS 130" sheetId="15" r:id="rId10"/>
    <sheet name="A.U. 11 A 14" sheetId="3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dm" localSheetId="10">'[1]ACTA 5'!#REF!</definedName>
    <definedName name="Adm" localSheetId="9">'[1]ACTA 5'!#REF!</definedName>
    <definedName name="Adm">'[1]ACTA 5'!#REF!</definedName>
    <definedName name="_xlnm.Print_Area" localSheetId="4">'2'!$B$2:$M$22</definedName>
    <definedName name="_xlnm.Print_Area" localSheetId="5">'3'!$B$2:$M$22</definedName>
    <definedName name="_xlnm.Print_Area" localSheetId="6">'4'!$B$2:$M$24</definedName>
    <definedName name="_xlnm.Print_Area" localSheetId="7">'5'!$B$2:$M$25</definedName>
    <definedName name="_xlnm.Print_Area" localSheetId="8">'6'!$B$2:$M$25</definedName>
    <definedName name="_xlnm.Print_Area" localSheetId="2">'A.U. '!$A$1:$G$85</definedName>
    <definedName name="_xlnm.Print_Area" localSheetId="0">'A.U.  14 A 18'!$A$1:$G$87</definedName>
    <definedName name="_xlnm.Print_Area" localSheetId="10">'A.U. 11 A 14'!$A$1:$G$87</definedName>
    <definedName name="CompanyAddress" localSheetId="10">#REF!</definedName>
    <definedName name="CompanyAddress">#REF!</definedName>
    <definedName name="CompanyCity" localSheetId="10">#REF!</definedName>
    <definedName name="CompanyCity">#REF!</definedName>
    <definedName name="CompanyCountry" localSheetId="10">#REF!</definedName>
    <definedName name="CompanyCountry">#REF!</definedName>
    <definedName name="CompanyName" localSheetId="10">#REF!</definedName>
    <definedName name="CompanyName">#REF!</definedName>
    <definedName name="CompanyState" localSheetId="10">#REF!</definedName>
    <definedName name="CompanyState">#REF!</definedName>
    <definedName name="CompanyZip" localSheetId="10">#REF!</definedName>
    <definedName name="CompanyZip">#REF!</definedName>
    <definedName name="DataDisplayed">"Ejemplo"</definedName>
    <definedName name="Imprev" localSheetId="10">'[1]ACTA 5'!#REF!</definedName>
    <definedName name="Imprev" localSheetId="9">'[1]ACTA 5'!#REF!</definedName>
    <definedName name="Imprev">'[1]ACTA 5'!#REF!</definedName>
    <definedName name="inf" localSheetId="10">#REF!</definedName>
    <definedName name="inf" localSheetId="9">#REF!</definedName>
    <definedName name="inf">#REF!</definedName>
    <definedName name="IvaSUtl" localSheetId="10">'[1]ACTA 5'!#REF!</definedName>
    <definedName name="IvaSUtl" localSheetId="9">'[1]ACTA 5'!#REF!</definedName>
    <definedName name="IvaSUtl">'[1]ACTA 5'!#REF!</definedName>
    <definedName name="LOCAL_MYSQL_DATE_FORMAT" localSheetId="4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6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7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8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btPpto">'[1]ACTA 5'!$H$951</definedName>
    <definedName name="Slicer_Contact_Type">#N/A</definedName>
    <definedName name="tablonx" localSheetId="10">'[2]BASE DE DATOS'!#REF!</definedName>
    <definedName name="tablonx">'[2]BASE DE DATOS'!#REF!</definedName>
    <definedName name="_xlnm.Print_Titles" localSheetId="4">'2'!$9:$10</definedName>
    <definedName name="_xlnm.Print_Titles" localSheetId="5">'3'!$9:$10</definedName>
    <definedName name="_xlnm.Print_Titles" localSheetId="6">'4'!$9:$10</definedName>
    <definedName name="_xlnm.Print_Titles" localSheetId="7">'5'!$9:$10</definedName>
    <definedName name="_xlnm.Print_Titles" localSheetId="8">'6'!$9:$10</definedName>
    <definedName name="_xlnm.Print_Titles">#N/A</definedName>
    <definedName name="TtlCD" localSheetId="10">'[1]ACTA 5'!#REF!</definedName>
    <definedName name="TtlCD" localSheetId="9">'[1]ACTA 5'!#REF!</definedName>
    <definedName name="TtlCD">'[1]ACTA 5'!#REF!</definedName>
    <definedName name="Utilidad" localSheetId="10">'[1]ACTA 5'!#REF!</definedName>
    <definedName name="Utilidad" localSheetId="9">'[1]ACTA 5'!#REF!</definedName>
    <definedName name="Utilidad">'[1]ACTA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32" l="1"/>
  <c r="F38" i="32"/>
  <c r="F31" i="32"/>
  <c r="G31" i="32" l="1"/>
  <c r="G38" i="32"/>
  <c r="G39" i="32"/>
  <c r="G49" i="32"/>
  <c r="G50" i="32"/>
  <c r="G51" i="32"/>
  <c r="F797" i="15" l="1"/>
  <c r="F798" i="15" s="1"/>
  <c r="F795" i="15"/>
  <c r="F794" i="15"/>
  <c r="F796" i="15"/>
  <c r="F788" i="15"/>
  <c r="F787" i="15"/>
  <c r="F786" i="15"/>
  <c r="D783" i="15"/>
  <c r="F783" i="15" s="1"/>
  <c r="D780" i="15"/>
  <c r="F780" i="15" s="1"/>
  <c r="F779" i="15"/>
  <c r="D779" i="15"/>
  <c r="D784" i="15" s="1"/>
  <c r="F778" i="15"/>
  <c r="B776" i="15"/>
  <c r="F772" i="15"/>
  <c r="F771" i="15"/>
  <c r="F770" i="15"/>
  <c r="D767" i="15"/>
  <c r="F767" i="15" s="1"/>
  <c r="D764" i="15"/>
  <c r="F764" i="15" s="1"/>
  <c r="D763" i="15"/>
  <c r="D768" i="15" s="1"/>
  <c r="F768" i="15" s="1"/>
  <c r="F762" i="15"/>
  <c r="B760" i="15"/>
  <c r="F756" i="15"/>
  <c r="F755" i="15"/>
  <c r="F754" i="15"/>
  <c r="D751" i="15"/>
  <c r="F751" i="15" s="1"/>
  <c r="D748" i="15"/>
  <c r="F748" i="15" s="1"/>
  <c r="D747" i="15"/>
  <c r="D749" i="15" s="1"/>
  <c r="F746" i="15"/>
  <c r="B744" i="15"/>
  <c r="D750" i="15" l="1"/>
  <c r="F750" i="15" s="1"/>
  <c r="F749" i="15"/>
  <c r="D752" i="15"/>
  <c r="F752" i="15" s="1"/>
  <c r="D769" i="15"/>
  <c r="F769" i="15" s="1"/>
  <c r="F763" i="15"/>
  <c r="F747" i="15"/>
  <c r="F757" i="15" s="1"/>
  <c r="D753" i="15"/>
  <c r="F753" i="15" s="1"/>
  <c r="D765" i="15"/>
  <c r="F800" i="15"/>
  <c r="F784" i="15"/>
  <c r="D781" i="15"/>
  <c r="D785" i="15"/>
  <c r="F785" i="15" s="1"/>
  <c r="S47" i="32"/>
  <c r="S46" i="32"/>
  <c r="S45" i="32"/>
  <c r="F83" i="34"/>
  <c r="F75" i="34"/>
  <c r="G75" i="34" s="1"/>
  <c r="G74" i="34"/>
  <c r="G66" i="34"/>
  <c r="F64" i="34"/>
  <c r="G64" i="34" s="1"/>
  <c r="F63" i="34"/>
  <c r="G63" i="34" s="1"/>
  <c r="F62" i="34"/>
  <c r="G62" i="34" s="1"/>
  <c r="F61" i="34"/>
  <c r="G61" i="34" s="1"/>
  <c r="G55" i="34"/>
  <c r="G54" i="34"/>
  <c r="B50" i="34"/>
  <c r="B51" i="34" s="1"/>
  <c r="B49" i="34"/>
  <c r="G32" i="34"/>
  <c r="G30" i="34"/>
  <c r="G29" i="34"/>
  <c r="G21" i="34"/>
  <c r="G20" i="34"/>
  <c r="I19" i="34"/>
  <c r="G18" i="34"/>
  <c r="G17" i="34"/>
  <c r="G16" i="34"/>
  <c r="G15" i="34"/>
  <c r="G14" i="34"/>
  <c r="G13" i="34"/>
  <c r="B13" i="34"/>
  <c r="G12" i="34"/>
  <c r="G12" i="33"/>
  <c r="G13" i="33"/>
  <c r="Q29" i="32"/>
  <c r="E18" i="32"/>
  <c r="E17" i="32"/>
  <c r="Q13" i="32"/>
  <c r="E13" i="32"/>
  <c r="Q14" i="32"/>
  <c r="E14" i="32"/>
  <c r="R38" i="32" l="1"/>
  <c r="S38" i="32" s="1"/>
  <c r="F45" i="32"/>
  <c r="G45" i="32" s="1"/>
  <c r="R41" i="32"/>
  <c r="S41" i="32" s="1"/>
  <c r="F48" i="32"/>
  <c r="G48" i="32" s="1"/>
  <c r="G77" i="34"/>
  <c r="D766" i="15"/>
  <c r="F766" i="15" s="1"/>
  <c r="F765" i="15"/>
  <c r="F781" i="15"/>
  <c r="D782" i="15"/>
  <c r="F782" i="15" s="1"/>
  <c r="G19" i="34"/>
  <c r="G23" i="34" s="1"/>
  <c r="G24" i="34" s="1"/>
  <c r="G25" i="34" s="1"/>
  <c r="G68" i="34"/>
  <c r="G69" i="34" s="1"/>
  <c r="G70" i="34" s="1"/>
  <c r="F773" i="15" l="1"/>
  <c r="F789" i="15"/>
  <c r="G31" i="34"/>
  <c r="G33" i="34"/>
  <c r="R40" i="32" l="1"/>
  <c r="S40" i="32" s="1"/>
  <c r="F47" i="32"/>
  <c r="G47" i="32" s="1"/>
  <c r="R39" i="32"/>
  <c r="S39" i="32" s="1"/>
  <c r="F46" i="32"/>
  <c r="G46" i="32" s="1"/>
  <c r="G35" i="34"/>
  <c r="G36" i="34" s="1"/>
  <c r="G37" i="34" s="1"/>
  <c r="S44" i="32" l="1"/>
  <c r="S43" i="32"/>
  <c r="S42" i="32"/>
  <c r="E32" i="32" l="1"/>
  <c r="E33" i="32"/>
  <c r="Q15" i="32"/>
  <c r="E30" i="32" l="1"/>
  <c r="E29" i="32"/>
  <c r="E28" i="32"/>
  <c r="E27" i="32"/>
  <c r="E26" i="32"/>
  <c r="E25" i="32"/>
  <c r="Q33" i="32" l="1"/>
  <c r="E36" i="32"/>
  <c r="E19" i="32"/>
  <c r="D842" i="15" l="1"/>
  <c r="F846" i="15"/>
  <c r="D848" i="15"/>
  <c r="F859" i="15"/>
  <c r="F861" i="15"/>
  <c r="F873" i="15"/>
  <c r="F874" i="15"/>
  <c r="F875" i="15"/>
  <c r="D892" i="15"/>
  <c r="D893" i="15"/>
  <c r="D894" i="15"/>
  <c r="D895" i="15" s="1"/>
  <c r="D896" i="15" s="1"/>
  <c r="D897" i="15"/>
  <c r="D900" i="15"/>
  <c r="D905" i="15"/>
  <c r="F905" i="15" s="1"/>
  <c r="E998" i="15"/>
  <c r="D921" i="15"/>
  <c r="D922" i="15"/>
  <c r="D924" i="15"/>
  <c r="F926" i="15"/>
  <c r="D927" i="15"/>
  <c r="E928" i="15"/>
  <c r="F928" i="15" s="1"/>
  <c r="D935" i="15"/>
  <c r="D936" i="15"/>
  <c r="D941" i="15" s="1"/>
  <c r="D937" i="15"/>
  <c r="D940" i="15"/>
  <c r="F940" i="15"/>
  <c r="D942" i="15"/>
  <c r="F943" i="15"/>
  <c r="D951" i="15"/>
  <c r="D956" i="15" s="1"/>
  <c r="D952" i="15"/>
  <c r="D955" i="15"/>
  <c r="F955" i="15"/>
  <c r="D966" i="15"/>
  <c r="D971" i="15" s="1"/>
  <c r="D967" i="15"/>
  <c r="D970" i="15"/>
  <c r="F970" i="15" s="1"/>
  <c r="F958" i="15"/>
  <c r="F944" i="15"/>
  <c r="D981" i="15"/>
  <c r="D982" i="15"/>
  <c r="D985" i="15"/>
  <c r="F985" i="15"/>
  <c r="F988" i="15"/>
  <c r="F989" i="15"/>
  <c r="D996" i="15"/>
  <c r="D1001" i="15" s="1"/>
  <c r="D997" i="15"/>
  <c r="D1000" i="15"/>
  <c r="F1000" i="15" s="1"/>
  <c r="F1005" i="15"/>
  <c r="D972" i="15" l="1"/>
  <c r="D938" i="15"/>
  <c r="D939" i="15" s="1"/>
  <c r="D968" i="15"/>
  <c r="D969" i="15" s="1"/>
  <c r="F973" i="15"/>
  <c r="F974" i="15"/>
  <c r="D986" i="15"/>
  <c r="D983" i="15"/>
  <c r="D984" i="15" s="1"/>
  <c r="D987" i="15"/>
  <c r="D1002" i="15"/>
  <c r="D998" i="15"/>
  <c r="D999" i="15" s="1"/>
  <c r="D953" i="15"/>
  <c r="D954" i="15" s="1"/>
  <c r="D843" i="15"/>
  <c r="D957" i="15"/>
  <c r="F959" i="15"/>
  <c r="F998" i="15" l="1"/>
  <c r="D844" i="15"/>
  <c r="F741" i="15" l="1"/>
  <c r="F740" i="15"/>
  <c r="F731" i="15"/>
  <c r="F724" i="15"/>
  <c r="F723" i="15"/>
  <c r="F715" i="15"/>
  <c r="F739" i="15"/>
  <c r="D736" i="15"/>
  <c r="D733" i="15"/>
  <c r="D732" i="15"/>
  <c r="D737" i="15" s="1"/>
  <c r="F725" i="15"/>
  <c r="D720" i="15"/>
  <c r="D717" i="15"/>
  <c r="D716" i="15"/>
  <c r="D721" i="15" s="1"/>
  <c r="F696" i="15"/>
  <c r="F697" i="15"/>
  <c r="F698" i="15"/>
  <c r="F699" i="15"/>
  <c r="F700" i="15"/>
  <c r="F701" i="15"/>
  <c r="F702" i="15"/>
  <c r="F703" i="15"/>
  <c r="F704" i="15"/>
  <c r="F705" i="15"/>
  <c r="F706" i="15"/>
  <c r="F707" i="15"/>
  <c r="F708" i="15"/>
  <c r="F709" i="15"/>
  <c r="F710" i="15"/>
  <c r="F686" i="15"/>
  <c r="F685" i="15"/>
  <c r="F680" i="15"/>
  <c r="F679" i="15"/>
  <c r="F678" i="15"/>
  <c r="F672" i="15"/>
  <c r="F671" i="15"/>
  <c r="F670" i="15"/>
  <c r="D690" i="15"/>
  <c r="F690" i="15" s="1"/>
  <c r="F689" i="15"/>
  <c r="D688" i="15"/>
  <c r="F687" i="15"/>
  <c r="D684" i="15"/>
  <c r="D683" i="15"/>
  <c r="D682" i="15"/>
  <c r="D681" i="15"/>
  <c r="D677" i="15"/>
  <c r="D675" i="15"/>
  <c r="D674" i="15"/>
  <c r="D673" i="15"/>
  <c r="F662" i="15"/>
  <c r="F663" i="15" s="1"/>
  <c r="F661" i="15"/>
  <c r="F660" i="15"/>
  <c r="F659" i="15"/>
  <c r="F658" i="15"/>
  <c r="F657" i="15"/>
  <c r="F656" i="15"/>
  <c r="F651" i="15"/>
  <c r="F649" i="15"/>
  <c r="F648" i="15"/>
  <c r="F647" i="15"/>
  <c r="F646" i="15"/>
  <c r="F645" i="15"/>
  <c r="F650" i="15"/>
  <c r="G638" i="15"/>
  <c r="G637" i="15"/>
  <c r="G639" i="15" s="1"/>
  <c r="G627" i="15"/>
  <c r="G629" i="15" s="1"/>
  <c r="G635" i="15"/>
  <c r="B617" i="15"/>
  <c r="F620" i="15"/>
  <c r="D619" i="15"/>
  <c r="F608" i="15"/>
  <c r="F607" i="15"/>
  <c r="F606" i="15"/>
  <c r="D609" i="15"/>
  <c r="D610" i="15" s="1"/>
  <c r="D611" i="15" s="1"/>
  <c r="D722" i="15" l="1"/>
  <c r="F722" i="15" s="1"/>
  <c r="D718" i="15"/>
  <c r="D719" i="15" s="1"/>
  <c r="F719" i="15" s="1"/>
  <c r="F716" i="15"/>
  <c r="F720" i="15"/>
  <c r="F721" i="15"/>
  <c r="F717" i="15"/>
  <c r="F737" i="15"/>
  <c r="F733" i="15"/>
  <c r="F732" i="15"/>
  <c r="D734" i="15"/>
  <c r="F736" i="15"/>
  <c r="D738" i="15"/>
  <c r="F738" i="15" s="1"/>
  <c r="F674" i="15"/>
  <c r="F711" i="15"/>
  <c r="F44" i="32" s="1"/>
  <c r="G44" i="32" s="1"/>
  <c r="F610" i="15"/>
  <c r="F683" i="15"/>
  <c r="F611" i="15"/>
  <c r="F609" i="15"/>
  <c r="F619" i="15"/>
  <c r="F622" i="15" s="1"/>
  <c r="R34" i="32" s="1"/>
  <c r="F644" i="15"/>
  <c r="F652" i="15" s="1"/>
  <c r="R35" i="32" s="1"/>
  <c r="F673" i="15"/>
  <c r="F684" i="15"/>
  <c r="F688" i="15"/>
  <c r="F681" i="15"/>
  <c r="F682" i="15"/>
  <c r="F677" i="15"/>
  <c r="F675" i="15"/>
  <c r="D676" i="15"/>
  <c r="F676" i="15" s="1"/>
  <c r="F665" i="15"/>
  <c r="R36" i="32" s="1"/>
  <c r="G640" i="15"/>
  <c r="G628" i="15"/>
  <c r="G630" i="15" s="1"/>
  <c r="D612" i="15"/>
  <c r="F612" i="15" s="1"/>
  <c r="D613" i="15"/>
  <c r="F613" i="15" s="1"/>
  <c r="R26" i="32" l="1"/>
  <c r="F42" i="32"/>
  <c r="G42" i="32" s="1"/>
  <c r="F43" i="32"/>
  <c r="G43" i="32" s="1"/>
  <c r="R27" i="32"/>
  <c r="F718" i="15"/>
  <c r="F726" i="15" s="1"/>
  <c r="R24" i="32" s="1"/>
  <c r="D735" i="15"/>
  <c r="F735" i="15" s="1"/>
  <c r="F734" i="15"/>
  <c r="F692" i="15"/>
  <c r="R37" i="32" s="1"/>
  <c r="F615" i="15"/>
  <c r="F41" i="32" s="1"/>
  <c r="G41" i="32" s="1"/>
  <c r="F742" i="15" l="1"/>
  <c r="R25" i="32" s="1"/>
  <c r="E37" i="32" l="1"/>
  <c r="I47" i="32"/>
  <c r="E40" i="32"/>
  <c r="I44" i="32"/>
  <c r="F570" i="15" l="1"/>
  <c r="F572" i="15" s="1"/>
  <c r="F571" i="15" l="1"/>
  <c r="F574" i="15" s="1"/>
  <c r="F37" i="32" s="1"/>
  <c r="G37" i="32" s="1"/>
  <c r="I43" i="32" l="1"/>
  <c r="F83" i="33" l="1"/>
  <c r="E15" i="32" l="1"/>
  <c r="D438" i="15" l="1"/>
  <c r="D435" i="15"/>
  <c r="D434" i="15"/>
  <c r="D440" i="15" s="1"/>
  <c r="D422" i="15"/>
  <c r="D419" i="15"/>
  <c r="D418" i="15"/>
  <c r="D424" i="15" s="1"/>
  <c r="D420" i="15" l="1"/>
  <c r="D421" i="15" s="1"/>
  <c r="D423" i="15"/>
  <c r="D439" i="15"/>
  <c r="D436" i="15"/>
  <c r="D437" i="15" s="1"/>
  <c r="E409" i="15" l="1"/>
  <c r="E380" i="15"/>
  <c r="E395" i="15" s="1"/>
  <c r="E410" i="15" s="1"/>
  <c r="D271" i="15" l="1"/>
  <c r="D268" i="15"/>
  <c r="D267" i="15"/>
  <c r="D264" i="15"/>
  <c r="D263" i="15"/>
  <c r="D262" i="15"/>
  <c r="D265" i="15" l="1"/>
  <c r="D266" i="15" s="1"/>
  <c r="E249" i="15" l="1"/>
  <c r="E271" i="15" s="1"/>
  <c r="F438" i="15"/>
  <c r="F410" i="15"/>
  <c r="E426" i="15"/>
  <c r="F409" i="15"/>
  <c r="D406" i="15"/>
  <c r="D403" i="15"/>
  <c r="D402" i="15"/>
  <c r="D407" i="15" s="1"/>
  <c r="D391" i="15"/>
  <c r="D388" i="15"/>
  <c r="D387" i="15"/>
  <c r="D392" i="15" s="1"/>
  <c r="D378" i="15"/>
  <c r="E391" i="15"/>
  <c r="D376" i="15"/>
  <c r="D373" i="15"/>
  <c r="D372" i="15"/>
  <c r="D377" i="15" s="1"/>
  <c r="F365" i="15"/>
  <c r="D363" i="15"/>
  <c r="D361" i="15"/>
  <c r="D358" i="15"/>
  <c r="D357" i="15"/>
  <c r="D362" i="15" s="1"/>
  <c r="D356" i="15"/>
  <c r="N365" i="15"/>
  <c r="W365" i="15"/>
  <c r="Z365" i="15" s="1"/>
  <c r="AC365" i="15" s="1"/>
  <c r="W366" i="15"/>
  <c r="W367" i="15"/>
  <c r="W368" i="15"/>
  <c r="Z368" i="15" s="1"/>
  <c r="AC368" i="15" s="1"/>
  <c r="W369" i="15"/>
  <c r="AK369" i="15"/>
  <c r="W370" i="15"/>
  <c r="AK370" i="15"/>
  <c r="F422" i="15" l="1"/>
  <c r="F271" i="15"/>
  <c r="F376" i="15"/>
  <c r="F395" i="15"/>
  <c r="F394" i="15"/>
  <c r="F406" i="15"/>
  <c r="F391" i="15"/>
  <c r="F426" i="15"/>
  <c r="F380" i="15"/>
  <c r="E442" i="15"/>
  <c r="F442" i="15" s="1"/>
  <c r="D359" i="15"/>
  <c r="D374" i="15"/>
  <c r="D375" i="15" s="1"/>
  <c r="D389" i="15"/>
  <c r="D393" i="15"/>
  <c r="D404" i="15"/>
  <c r="D408" i="15"/>
  <c r="X366" i="15"/>
  <c r="Z366" i="15" s="1"/>
  <c r="AC366" i="15" s="1"/>
  <c r="X369" i="15"/>
  <c r="Z369" i="15" s="1"/>
  <c r="AC369" i="15" s="1"/>
  <c r="X367" i="15"/>
  <c r="Z367" i="15" s="1"/>
  <c r="AC367" i="15" s="1"/>
  <c r="X370" i="15"/>
  <c r="Z370" i="15" s="1"/>
  <c r="AC370" i="15" s="1"/>
  <c r="D360" i="15" l="1"/>
  <c r="D390" i="15"/>
  <c r="D405" i="15"/>
  <c r="X431" i="15" l="1"/>
  <c r="W431" i="15"/>
  <c r="V431" i="15"/>
  <c r="X430" i="15"/>
  <c r="W430" i="15"/>
  <c r="V430" i="15"/>
  <c r="V429" i="15"/>
  <c r="Y429" i="15" s="1"/>
  <c r="AB429" i="15" s="1"/>
  <c r="X428" i="15"/>
  <c r="W428" i="15"/>
  <c r="V428" i="15"/>
  <c r="X427" i="15"/>
  <c r="W427" i="15"/>
  <c r="V427" i="15"/>
  <c r="V426" i="15"/>
  <c r="Y426" i="15" s="1"/>
  <c r="AB426" i="15" s="1"/>
  <c r="W425" i="15"/>
  <c r="V425" i="15"/>
  <c r="W424" i="15"/>
  <c r="V424" i="15"/>
  <c r="Y423" i="15"/>
  <c r="AB423" i="15" s="1"/>
  <c r="Y422" i="15"/>
  <c r="AB422" i="15" s="1"/>
  <c r="W421" i="15"/>
  <c r="V421" i="15"/>
  <c r="W420" i="15"/>
  <c r="V420" i="15"/>
  <c r="W419" i="15"/>
  <c r="V419" i="15"/>
  <c r="W418" i="15"/>
  <c r="V418" i="15"/>
  <c r="U413" i="15"/>
  <c r="X413" i="15" s="1"/>
  <c r="Y412" i="15"/>
  <c r="X412" i="15"/>
  <c r="X411" i="15"/>
  <c r="X410" i="15"/>
  <c r="X409" i="15"/>
  <c r="X408" i="15"/>
  <c r="X407" i="15"/>
  <c r="X406" i="15"/>
  <c r="X405" i="15"/>
  <c r="X404" i="15"/>
  <c r="X403" i="15"/>
  <c r="X402" i="15"/>
  <c r="X401" i="15"/>
  <c r="F348" i="15"/>
  <c r="D346" i="15"/>
  <c r="F346" i="15" s="1"/>
  <c r="D343" i="15"/>
  <c r="F343" i="15" s="1"/>
  <c r="D341" i="15"/>
  <c r="F341" i="15" s="1"/>
  <c r="F339" i="15"/>
  <c r="F338" i="15"/>
  <c r="F337" i="15"/>
  <c r="D336" i="15"/>
  <c r="F336" i="15" s="1"/>
  <c r="D335" i="15"/>
  <c r="F335" i="15" s="1"/>
  <c r="D334" i="15"/>
  <c r="D331" i="15"/>
  <c r="F330" i="15"/>
  <c r="F329" i="15"/>
  <c r="F328" i="15"/>
  <c r="D327" i="15"/>
  <c r="D326" i="15"/>
  <c r="F321" i="15"/>
  <c r="F312" i="15"/>
  <c r="D309" i="15"/>
  <c r="F309" i="15" s="1"/>
  <c r="F306" i="15"/>
  <c r="F302" i="15"/>
  <c r="F301" i="15"/>
  <c r="F300" i="15"/>
  <c r="F298" i="15"/>
  <c r="F297" i="15"/>
  <c r="D296" i="15"/>
  <c r="F296" i="15" s="1"/>
  <c r="D295" i="15"/>
  <c r="F295" i="15" s="1"/>
  <c r="D291" i="15"/>
  <c r="F289" i="15"/>
  <c r="F288" i="15"/>
  <c r="F287" i="15"/>
  <c r="D284" i="15"/>
  <c r="D332" i="15" l="1"/>
  <c r="Y419" i="15"/>
  <c r="AB419" i="15" s="1"/>
  <c r="Y421" i="15"/>
  <c r="AB421" i="15" s="1"/>
  <c r="Y424" i="15"/>
  <c r="AB424" i="15" s="1"/>
  <c r="Y431" i="15"/>
  <c r="AB431" i="15" s="1"/>
  <c r="Y428" i="15"/>
  <c r="AB428" i="15" s="1"/>
  <c r="X414" i="15"/>
  <c r="Y430" i="15"/>
  <c r="AB430" i="15" s="1"/>
  <c r="Y418" i="15"/>
  <c r="AB418" i="15" s="1"/>
  <c r="Y420" i="15"/>
  <c r="AB420" i="15" s="1"/>
  <c r="Y425" i="15"/>
  <c r="AB425" i="15" s="1"/>
  <c r="Y427" i="15"/>
  <c r="AB427" i="15" s="1"/>
  <c r="D333" i="15"/>
  <c r="D292" i="15"/>
  <c r="AB432" i="15" l="1"/>
  <c r="D293" i="15"/>
  <c r="X289" i="15" l="1"/>
  <c r="X288" i="15"/>
  <c r="X287" i="15"/>
  <c r="AA282" i="15"/>
  <c r="AA281" i="15"/>
  <c r="Y281" i="15"/>
  <c r="Y280" i="15"/>
  <c r="V279" i="15"/>
  <c r="Y279" i="15" s="1"/>
  <c r="V277" i="15"/>
  <c r="Y277" i="15" s="1"/>
  <c r="V276" i="15"/>
  <c r="Y276" i="15" s="1"/>
  <c r="V275" i="15"/>
  <c r="Y275" i="15" s="1"/>
  <c r="L273" i="15"/>
  <c r="X291" i="15" l="1"/>
  <c r="D270" i="15" s="1"/>
  <c r="Y282" i="15"/>
  <c r="Y283" i="15" s="1"/>
  <c r="D269" i="15" s="1"/>
  <c r="AC269" i="15" l="1"/>
  <c r="X269" i="15"/>
  <c r="AA269" i="15" s="1"/>
  <c r="AC268" i="15"/>
  <c r="V268" i="15"/>
  <c r="X268" i="15" s="1"/>
  <c r="AA268" i="15" s="1"/>
  <c r="V267" i="15"/>
  <c r="X267" i="15" s="1"/>
  <c r="AA267" i="15" s="1"/>
  <c r="U265" i="15"/>
  <c r="V266" i="15" s="1"/>
  <c r="X266" i="15" s="1"/>
  <c r="AA266" i="15" s="1"/>
  <c r="U263" i="15"/>
  <c r="V264" i="15" s="1"/>
  <c r="X264" i="15" s="1"/>
  <c r="AA264" i="15" s="1"/>
  <c r="V262" i="15"/>
  <c r="X262" i="15" s="1"/>
  <c r="AA262" i="15" s="1"/>
  <c r="V261" i="15"/>
  <c r="X261" i="15" s="1"/>
  <c r="AA261" i="15" s="1"/>
  <c r="V260" i="15"/>
  <c r="X260" i="15" s="1"/>
  <c r="AA260" i="15" s="1"/>
  <c r="V259" i="15"/>
  <c r="X259" i="15" s="1"/>
  <c r="AA259" i="15" s="1"/>
  <c r="U253" i="15"/>
  <c r="X253" i="15" s="1"/>
  <c r="X252" i="15"/>
  <c r="X251" i="15"/>
  <c r="X250" i="15"/>
  <c r="X249" i="15"/>
  <c r="X248" i="15"/>
  <c r="X247" i="15"/>
  <c r="X246" i="15"/>
  <c r="X245" i="15"/>
  <c r="F252" i="15"/>
  <c r="D250" i="15"/>
  <c r="F249" i="15"/>
  <c r="D247" i="15"/>
  <c r="F245" i="15"/>
  <c r="D244" i="15"/>
  <c r="D243" i="15"/>
  <c r="D242" i="15"/>
  <c r="D239" i="15"/>
  <c r="D237" i="15"/>
  <c r="D236" i="15"/>
  <c r="D232" i="15"/>
  <c r="X265" i="15" l="1"/>
  <c r="AA265" i="15" s="1"/>
  <c r="D240" i="15"/>
  <c r="X254" i="15"/>
  <c r="D246" i="15" s="1"/>
  <c r="AB268" i="15"/>
  <c r="AB269" i="15" s="1"/>
  <c r="X263" i="15"/>
  <c r="AA263" i="15" s="1"/>
  <c r="D241" i="15" l="1"/>
  <c r="AA271" i="15"/>
  <c r="D248" i="15" s="1"/>
  <c r="E16" i="32"/>
  <c r="D211" i="15" l="1"/>
  <c r="D212" i="15"/>
  <c r="D210" i="15"/>
  <c r="D94" i="15"/>
  <c r="D213" i="15" l="1"/>
  <c r="D214" i="15" s="1"/>
  <c r="D155" i="15" l="1"/>
  <c r="D151" i="15"/>
  <c r="D152" i="15" s="1"/>
  <c r="D140" i="15"/>
  <c r="D135" i="15"/>
  <c r="D136" i="15" s="1"/>
  <c r="D137" i="15" s="1"/>
  <c r="D134" i="15"/>
  <c r="D142" i="15" l="1"/>
  <c r="D95" i="15" l="1"/>
  <c r="D216" i="15"/>
  <c r="D215" i="15"/>
  <c r="G14" i="33" l="1"/>
  <c r="D482" i="15" l="1"/>
  <c r="D483" i="15" l="1"/>
  <c r="D559" i="15" l="1"/>
  <c r="D560" i="15" s="1"/>
  <c r="D564" i="15"/>
  <c r="D548" i="15"/>
  <c r="G546" i="15"/>
  <c r="D528" i="15"/>
  <c r="D514" i="15"/>
  <c r="D515" i="15" s="1"/>
  <c r="D529" i="15" l="1"/>
  <c r="D918" i="15" s="1"/>
  <c r="D917" i="15"/>
  <c r="G548" i="15"/>
  <c r="D919" i="15" l="1"/>
  <c r="F918" i="15"/>
  <c r="I34" i="32"/>
  <c r="D187" i="15"/>
  <c r="D198" i="15" s="1"/>
  <c r="D120" i="15" l="1"/>
  <c r="D121" i="15" s="1"/>
  <c r="D119" i="15"/>
  <c r="D127" i="15" s="1"/>
  <c r="D107" i="15"/>
  <c r="D125" i="15"/>
  <c r="D122" i="15" l="1"/>
  <c r="D83" i="15"/>
  <c r="D84" i="15"/>
  <c r="D85" i="15"/>
  <c r="D86" i="15" s="1"/>
  <c r="B49" i="33" l="1"/>
  <c r="B50" i="33" s="1"/>
  <c r="B51" i="33" s="1"/>
  <c r="D531" i="15" l="1"/>
  <c r="D920" i="15" s="1"/>
  <c r="D527" i="15"/>
  <c r="D504" i="15" l="1"/>
  <c r="L383" i="15"/>
  <c r="V124" i="15" l="1"/>
  <c r="D503" i="15"/>
  <c r="D502" i="15"/>
  <c r="D500" i="15"/>
  <c r="F500" i="15" s="1"/>
  <c r="D496" i="15"/>
  <c r="D499" i="15"/>
  <c r="D498" i="15"/>
  <c r="D497" i="15"/>
  <c r="F502" i="15" l="1"/>
  <c r="D111" i="15" l="1"/>
  <c r="D108" i="15" l="1"/>
  <c r="G76" i="15"/>
  <c r="E894" i="15" l="1"/>
  <c r="F894" i="15" s="1"/>
  <c r="F497" i="15" l="1"/>
  <c r="E239" i="15"/>
  <c r="E264" i="15" s="1"/>
  <c r="E212" i="15"/>
  <c r="F212" i="15" s="1"/>
  <c r="E528" i="15"/>
  <c r="E917" i="15" s="1"/>
  <c r="E170" i="15"/>
  <c r="E190" i="15" s="1"/>
  <c r="F190" i="15" s="1"/>
  <c r="N146" i="15"/>
  <c r="L145" i="15"/>
  <c r="W393" i="15"/>
  <c r="AA393" i="15" s="1"/>
  <c r="W392" i="15"/>
  <c r="AA392" i="15" s="1"/>
  <c r="D176" i="15"/>
  <c r="AA391" i="15"/>
  <c r="AA390" i="15"/>
  <c r="D174" i="15"/>
  <c r="D173" i="15"/>
  <c r="D170" i="15"/>
  <c r="X384" i="15"/>
  <c r="AB384" i="15" s="1"/>
  <c r="D169" i="15"/>
  <c r="X383" i="15"/>
  <c r="W383" i="15"/>
  <c r="AB382" i="15"/>
  <c r="X381" i="15"/>
  <c r="AB381" i="15" s="1"/>
  <c r="X380" i="15"/>
  <c r="W380" i="15"/>
  <c r="F917" i="15" l="1"/>
  <c r="E997" i="15"/>
  <c r="F997" i="15" s="1"/>
  <c r="I45" i="32"/>
  <c r="F264" i="15"/>
  <c r="F239" i="15"/>
  <c r="D171" i="15"/>
  <c r="F170" i="15"/>
  <c r="F528" i="15"/>
  <c r="AB380" i="15"/>
  <c r="AB383" i="15"/>
  <c r="AA394" i="15"/>
  <c r="D177" i="15" s="1"/>
  <c r="F291" i="15" l="1"/>
  <c r="D172" i="15"/>
  <c r="D192" i="15" s="1"/>
  <c r="D191" i="15"/>
  <c r="AB385" i="15"/>
  <c r="D175" i="15" s="1"/>
  <c r="E358" i="15" l="1"/>
  <c r="F331" i="15"/>
  <c r="D526" i="15"/>
  <c r="D532" i="15"/>
  <c r="D535" i="15"/>
  <c r="E373" i="15" l="1"/>
  <c r="F358" i="15"/>
  <c r="D530" i="15"/>
  <c r="F373" i="15" l="1"/>
  <c r="E388" i="15"/>
  <c r="E403" i="15" l="1"/>
  <c r="F388" i="15"/>
  <c r="E419" i="15" l="1"/>
  <c r="E435" i="15" s="1"/>
  <c r="F403" i="15"/>
  <c r="F419" i="15" l="1"/>
  <c r="F435" i="15"/>
  <c r="L285" i="15"/>
  <c r="L283" i="15"/>
  <c r="L233" i="15"/>
  <c r="N219" i="15"/>
  <c r="L218" i="15"/>
  <c r="L217" i="15"/>
  <c r="L197" i="15"/>
  <c r="E889" i="15" l="1"/>
  <c r="F889" i="15" s="1"/>
  <c r="E891" i="15"/>
  <c r="F891" i="15" s="1"/>
  <c r="F324" i="15" l="1"/>
  <c r="F290" i="15"/>
  <c r="E235" i="15"/>
  <c r="F235" i="15" s="1"/>
  <c r="X374" i="15"/>
  <c r="Z374" i="15" s="1"/>
  <c r="AC374" i="15" s="1"/>
  <c r="X373" i="15"/>
  <c r="Z373" i="15" s="1"/>
  <c r="AC373" i="15" s="1"/>
  <c r="F1166" i="15"/>
  <c r="X372" i="15"/>
  <c r="Z372" i="15" s="1"/>
  <c r="AC372" i="15" s="1"/>
  <c r="F1165" i="15"/>
  <c r="X371" i="15"/>
  <c r="Z371" i="15" s="1"/>
  <c r="AC371" i="15" s="1"/>
  <c r="F1164" i="15"/>
  <c r="X364" i="15"/>
  <c r="W364" i="15"/>
  <c r="X363" i="15"/>
  <c r="W363" i="15"/>
  <c r="Z362" i="15"/>
  <c r="AC362" i="15" s="1"/>
  <c r="Z361" i="15"/>
  <c r="AC361" i="15" s="1"/>
  <c r="X360" i="15"/>
  <c r="W360" i="15"/>
  <c r="X359" i="15"/>
  <c r="W359" i="15"/>
  <c r="X358" i="15"/>
  <c r="W358" i="15"/>
  <c r="X357" i="15"/>
  <c r="W357" i="15"/>
  <c r="X351" i="15"/>
  <c r="AA351" i="15" s="1"/>
  <c r="AA350" i="15"/>
  <c r="AA349" i="15"/>
  <c r="AA348" i="15"/>
  <c r="AA347" i="15"/>
  <c r="AA346" i="15"/>
  <c r="AA345" i="15"/>
  <c r="AA344" i="15"/>
  <c r="AA343" i="15"/>
  <c r="AA342" i="15"/>
  <c r="AA341" i="15"/>
  <c r="AA340" i="15"/>
  <c r="AA339" i="15"/>
  <c r="Z357" i="15" l="1"/>
  <c r="AC357" i="15" s="1"/>
  <c r="F1168" i="15"/>
  <c r="Z363" i="15"/>
  <c r="AC363" i="15" s="1"/>
  <c r="Z359" i="15"/>
  <c r="AC359" i="15" s="1"/>
  <c r="Z360" i="15"/>
  <c r="AC360" i="15" s="1"/>
  <c r="Z364" i="15"/>
  <c r="AC364" i="15" s="1"/>
  <c r="AA352" i="15"/>
  <c r="D898" i="15" s="1"/>
  <c r="AB352" i="15"/>
  <c r="Z358" i="15"/>
  <c r="AC358" i="15" s="1"/>
  <c r="AC375" i="15" l="1"/>
  <c r="D902" i="15" s="1"/>
  <c r="N124" i="15" l="1"/>
  <c r="L123" i="15"/>
  <c r="E856" i="15"/>
  <c r="F856" i="15" s="1"/>
  <c r="E208" i="15" l="1"/>
  <c r="E840" i="15" s="1"/>
  <c r="F840" i="15" s="1"/>
  <c r="E857" i="15"/>
  <c r="F857" i="15" s="1"/>
  <c r="E890" i="15"/>
  <c r="F890" i="15" s="1"/>
  <c r="E110" i="15"/>
  <c r="E124" i="15" s="1"/>
  <c r="E870" i="15"/>
  <c r="F870" i="15" s="1"/>
  <c r="E250" i="15"/>
  <c r="E218" i="15"/>
  <c r="E847" i="15" s="1"/>
  <c r="F847" i="15" s="1"/>
  <c r="E139" i="15"/>
  <c r="F139" i="15" s="1"/>
  <c r="E494" i="15"/>
  <c r="F494" i="15" s="1"/>
  <c r="E167" i="15"/>
  <c r="E557" i="15"/>
  <c r="F557" i="15" s="1"/>
  <c r="E176" i="15"/>
  <c r="E532" i="15"/>
  <c r="E513" i="15"/>
  <c r="F513" i="15" s="1"/>
  <c r="E563" i="15"/>
  <c r="F563" i="15" s="1"/>
  <c r="E855" i="15"/>
  <c r="F855" i="15" s="1"/>
  <c r="E234" i="15" l="1"/>
  <c r="F208" i="15"/>
  <c r="E969" i="15"/>
  <c r="F921" i="15"/>
  <c r="F250" i="15"/>
  <c r="E268" i="15"/>
  <c r="F268" i="15" s="1"/>
  <c r="F234" i="15"/>
  <c r="F218" i="15"/>
  <c r="E154" i="15"/>
  <c r="F154" i="15" s="1"/>
  <c r="F176" i="15"/>
  <c r="E196" i="15"/>
  <c r="F196" i="15" s="1"/>
  <c r="F167" i="15"/>
  <c r="E186" i="15"/>
  <c r="F186" i="15" s="1"/>
  <c r="F110" i="15"/>
  <c r="F532" i="15"/>
  <c r="E83" i="15" l="1"/>
  <c r="F83" i="15" s="1"/>
  <c r="E92" i="15"/>
  <c r="F969" i="15"/>
  <c r="E984" i="15"/>
  <c r="F984" i="15" s="1"/>
  <c r="E939" i="15"/>
  <c r="F939" i="15" s="1"/>
  <c r="E954" i="15"/>
  <c r="F954" i="15" s="1"/>
  <c r="F323" i="15"/>
  <c r="F283" i="15"/>
  <c r="F124" i="15"/>
  <c r="F92" i="15"/>
  <c r="F501" i="15" l="1"/>
  <c r="F1004" i="15"/>
  <c r="E84" i="15"/>
  <c r="E93" i="15" s="1"/>
  <c r="L82" i="15"/>
  <c r="F84" i="15" l="1"/>
  <c r="F93" i="15"/>
  <c r="E28" i="12"/>
  <c r="E888" i="15" l="1"/>
  <c r="F888" i="15" s="1"/>
  <c r="E104" i="15"/>
  <c r="E118" i="15" s="1"/>
  <c r="E207" i="15"/>
  <c r="E839" i="15" s="1"/>
  <c r="F839" i="15" s="1"/>
  <c r="E233" i="15"/>
  <c r="E261" i="15" s="1"/>
  <c r="E133" i="15"/>
  <c r="E148" i="15" s="1"/>
  <c r="F148" i="15" s="1"/>
  <c r="E493" i="15"/>
  <c r="F493" i="15" s="1"/>
  <c r="E525" i="15"/>
  <c r="E166" i="15"/>
  <c r="E544" i="15"/>
  <c r="G544" i="15" s="1"/>
  <c r="E512" i="15"/>
  <c r="F512" i="15" s="1"/>
  <c r="E556" i="15"/>
  <c r="F556" i="15" s="1"/>
  <c r="F28" i="12"/>
  <c r="G28" i="12" s="1"/>
  <c r="F75" i="33"/>
  <c r="G75" i="33" s="1"/>
  <c r="G74" i="33"/>
  <c r="G66" i="33"/>
  <c r="F64" i="33"/>
  <c r="G64" i="33" s="1"/>
  <c r="F63" i="33"/>
  <c r="G63" i="33" s="1"/>
  <c r="F62" i="33"/>
  <c r="G62" i="33" s="1"/>
  <c r="F61" i="33"/>
  <c r="G61" i="33" s="1"/>
  <c r="G32" i="33"/>
  <c r="G21" i="33"/>
  <c r="G20" i="33"/>
  <c r="G18" i="33"/>
  <c r="G17" i="33"/>
  <c r="G16" i="33"/>
  <c r="G15" i="33"/>
  <c r="B13" i="33"/>
  <c r="E16" i="12"/>
  <c r="D561" i="15"/>
  <c r="E887" i="15" l="1"/>
  <c r="F887" i="15" s="1"/>
  <c r="E103" i="15"/>
  <c r="E117" i="15" s="1"/>
  <c r="F525" i="15"/>
  <c r="E916" i="15"/>
  <c r="F916" i="15" s="1"/>
  <c r="F261" i="15"/>
  <c r="F233" i="15"/>
  <c r="E206" i="15"/>
  <c r="E838" i="15" s="1"/>
  <c r="F838" i="15" s="1"/>
  <c r="E232" i="15"/>
  <c r="E260" i="15" s="1"/>
  <c r="E132" i="15"/>
  <c r="E147" i="15" s="1"/>
  <c r="F166" i="15"/>
  <c r="E185" i="15"/>
  <c r="E492" i="15"/>
  <c r="F492" i="15" s="1"/>
  <c r="G77" i="33"/>
  <c r="G29" i="33"/>
  <c r="E165" i="15"/>
  <c r="E524" i="15"/>
  <c r="E511" i="15"/>
  <c r="F511" i="15" s="1"/>
  <c r="E555" i="15"/>
  <c r="F555" i="15" s="1"/>
  <c r="G30" i="33"/>
  <c r="G33" i="33"/>
  <c r="G68" i="33"/>
  <c r="G69" i="33" s="1"/>
  <c r="G70" i="33" s="1"/>
  <c r="E13" i="12"/>
  <c r="M13" i="25"/>
  <c r="M14" i="25"/>
  <c r="D46" i="15"/>
  <c r="D45" i="15"/>
  <c r="F524" i="15" l="1"/>
  <c r="E915" i="15"/>
  <c r="F915" i="15" s="1"/>
  <c r="F281" i="15"/>
  <c r="F260" i="15"/>
  <c r="F282" i="15"/>
  <c r="F232" i="15"/>
  <c r="F185" i="15"/>
  <c r="F207" i="15"/>
  <c r="F103" i="15"/>
  <c r="F117" i="15"/>
  <c r="F165" i="15"/>
  <c r="E184" i="15"/>
  <c r="F104" i="15"/>
  <c r="G31" i="33"/>
  <c r="G35" i="33" s="1"/>
  <c r="G36" i="33" s="1"/>
  <c r="G37" i="33" s="1"/>
  <c r="E1151" i="15"/>
  <c r="G1151" i="15" s="1"/>
  <c r="E1152" i="15"/>
  <c r="G1152" i="15" s="1"/>
  <c r="E1154" i="15"/>
  <c r="G1154" i="15" s="1"/>
  <c r="E1155" i="15"/>
  <c r="G1155" i="15" s="1"/>
  <c r="E1153" i="15"/>
  <c r="G1153" i="15" s="1"/>
  <c r="D36" i="15"/>
  <c r="D35" i="15"/>
  <c r="F47" i="15"/>
  <c r="D44" i="15"/>
  <c r="D43" i="15"/>
  <c r="D42" i="15"/>
  <c r="F41" i="15"/>
  <c r="D39" i="15"/>
  <c r="D34" i="15"/>
  <c r="D32" i="15"/>
  <c r="F23" i="15"/>
  <c r="D21" i="15"/>
  <c r="D20" i="15"/>
  <c r="D19" i="15"/>
  <c r="F18" i="15"/>
  <c r="D16" i="15"/>
  <c r="D13" i="15"/>
  <c r="D12" i="15"/>
  <c r="D11" i="15"/>
  <c r="D9" i="15"/>
  <c r="F322" i="15" l="1"/>
  <c r="F184" i="15"/>
  <c r="F206" i="15"/>
  <c r="F118" i="15"/>
  <c r="F132" i="15"/>
  <c r="D37" i="15"/>
  <c r="D38" i="15" s="1"/>
  <c r="D14" i="15"/>
  <c r="D15" i="15" s="1"/>
  <c r="G25" i="12" l="1"/>
  <c r="F73" i="30"/>
  <c r="G73" i="30" s="1"/>
  <c r="G72" i="30"/>
  <c r="G64" i="30"/>
  <c r="F62" i="30"/>
  <c r="G62" i="30" s="1"/>
  <c r="F61" i="30"/>
  <c r="G61" i="30" s="1"/>
  <c r="F60" i="30"/>
  <c r="G60" i="30" s="1"/>
  <c r="F59" i="30"/>
  <c r="G59" i="30" s="1"/>
  <c r="B47" i="30"/>
  <c r="B48" i="30" s="1"/>
  <c r="B49" i="30" s="1"/>
  <c r="B50" i="30" s="1"/>
  <c r="B51" i="30" s="1"/>
  <c r="F32" i="30"/>
  <c r="F31" i="30"/>
  <c r="G31" i="30" s="1"/>
  <c r="F30" i="30"/>
  <c r="F29" i="30"/>
  <c r="F28" i="30"/>
  <c r="D28" i="30"/>
  <c r="D29" i="30" s="1"/>
  <c r="G29" i="30" s="1"/>
  <c r="F20" i="30"/>
  <c r="G20" i="30" s="1"/>
  <c r="G19" i="30"/>
  <c r="G18" i="30"/>
  <c r="G17" i="30"/>
  <c r="G16" i="30"/>
  <c r="G15" i="30"/>
  <c r="G14" i="30"/>
  <c r="G13" i="30"/>
  <c r="B13" i="30"/>
  <c r="B14" i="30" s="1"/>
  <c r="B15" i="30" s="1"/>
  <c r="G12" i="30"/>
  <c r="G28" i="30" l="1"/>
  <c r="G75" i="30"/>
  <c r="G66" i="30"/>
  <c r="G67" i="30" s="1"/>
  <c r="G68" i="30" s="1"/>
  <c r="G22" i="30"/>
  <c r="G23" i="30" s="1"/>
  <c r="G24" i="30" s="1"/>
  <c r="D30" i="30"/>
  <c r="D32" i="30" s="1"/>
  <c r="G32" i="30" s="1"/>
  <c r="G30" i="30" l="1"/>
  <c r="G34" i="30" s="1"/>
  <c r="G35" i="30" s="1"/>
  <c r="G36" i="30" s="1"/>
  <c r="K24" i="29" l="1"/>
  <c r="M21" i="29"/>
  <c r="M20" i="29"/>
  <c r="M19" i="29"/>
  <c r="M18" i="29"/>
  <c r="M17" i="29"/>
  <c r="M16" i="29"/>
  <c r="M15" i="29"/>
  <c r="M14" i="29"/>
  <c r="M13" i="29"/>
  <c r="M12" i="29"/>
  <c r="J7" i="29"/>
  <c r="F7" i="29"/>
  <c r="H5" i="29"/>
  <c r="K24" i="28"/>
  <c r="M21" i="28"/>
  <c r="M20" i="28"/>
  <c r="M19" i="28"/>
  <c r="M18" i="28"/>
  <c r="M17" i="28"/>
  <c r="M16" i="28"/>
  <c r="M15" i="28"/>
  <c r="M14" i="28"/>
  <c r="M13" i="28"/>
  <c r="M12" i="28"/>
  <c r="J7" i="28"/>
  <c r="F7" i="28"/>
  <c r="H5" i="28"/>
  <c r="K24" i="26"/>
  <c r="M21" i="26"/>
  <c r="M20" i="26"/>
  <c r="M19" i="26"/>
  <c r="M18" i="26"/>
  <c r="M17" i="26"/>
  <c r="M16" i="26"/>
  <c r="M15" i="26"/>
  <c r="M14" i="26"/>
  <c r="M13" i="26"/>
  <c r="M7" i="26" s="1"/>
  <c r="E19" i="12" s="1"/>
  <c r="M12" i="26"/>
  <c r="J7" i="26"/>
  <c r="F7" i="26"/>
  <c r="H5" i="26"/>
  <c r="K21" i="25"/>
  <c r="M18" i="25"/>
  <c r="M17" i="25"/>
  <c r="M16" i="25"/>
  <c r="M15" i="25"/>
  <c r="M12" i="25"/>
  <c r="J7" i="25"/>
  <c r="F7" i="25"/>
  <c r="H5" i="25"/>
  <c r="K21" i="24"/>
  <c r="M18" i="24"/>
  <c r="M17" i="24"/>
  <c r="M16" i="24"/>
  <c r="M15" i="24"/>
  <c r="M14" i="24"/>
  <c r="M13" i="24"/>
  <c r="M12" i="24"/>
  <c r="E14" i="12" s="1"/>
  <c r="E24" i="12" s="1"/>
  <c r="J7" i="24"/>
  <c r="F7" i="24"/>
  <c r="C7" i="24"/>
  <c r="H5" i="24"/>
  <c r="M7" i="25" l="1"/>
  <c r="E15" i="12" s="1"/>
  <c r="M7" i="29"/>
  <c r="M7" i="28"/>
  <c r="M7" i="24"/>
  <c r="E20" i="12" l="1"/>
  <c r="E21" i="12"/>
  <c r="G470" i="15" l="1"/>
  <c r="E868" i="15" l="1"/>
  <c r="F868" i="15" s="1"/>
  <c r="E869" i="15"/>
  <c r="F869" i="15" s="1"/>
  <c r="G473" i="15"/>
  <c r="Y331" i="15" l="1"/>
  <c r="Y330" i="15"/>
  <c r="Y329" i="15"/>
  <c r="AB321" i="15"/>
  <c r="AB320" i="15"/>
  <c r="W320" i="15"/>
  <c r="W319" i="15"/>
  <c r="Z318" i="15"/>
  <c r="W318" i="15"/>
  <c r="W317" i="15"/>
  <c r="Y311" i="15"/>
  <c r="Y310" i="15"/>
  <c r="Y309" i="15"/>
  <c r="Y308" i="15"/>
  <c r="AB300" i="15"/>
  <c r="AB299" i="15"/>
  <c r="W297" i="15"/>
  <c r="Z300" i="15" s="1"/>
  <c r="W296" i="15"/>
  <c r="Z299" i="15" s="1"/>
  <c r="Z296" i="15"/>
  <c r="W295" i="15"/>
  <c r="Z298" i="15" s="1"/>
  <c r="Z295" i="15"/>
  <c r="W294" i="15"/>
  <c r="Z297" i="15" s="1"/>
  <c r="Z319" i="15" l="1"/>
  <c r="Z322" i="15"/>
  <c r="Z320" i="15"/>
  <c r="Z323" i="15" s="1"/>
  <c r="Z301" i="15"/>
  <c r="Z302" i="15" s="1"/>
  <c r="Y333" i="15"/>
  <c r="Y312" i="15"/>
  <c r="AK372" i="15" l="1"/>
  <c r="AK371" i="15"/>
  <c r="AN363" i="15"/>
  <c r="AL361" i="15"/>
  <c r="AH360" i="15"/>
  <c r="AL360" i="15" s="1"/>
  <c r="AK354" i="15"/>
  <c r="AK352" i="15"/>
  <c r="AK351" i="15"/>
  <c r="AL345" i="15"/>
  <c r="AH344" i="15"/>
  <c r="AL344" i="15" s="1"/>
  <c r="AL346" i="15" l="1"/>
  <c r="AK355" i="15"/>
  <c r="AK373" i="15"/>
  <c r="D534" i="15" s="1"/>
  <c r="D923" i="15" s="1"/>
  <c r="AL362" i="15"/>
  <c r="AL363" i="15" s="1"/>
  <c r="D516" i="15" l="1"/>
  <c r="I49" i="32" l="1"/>
  <c r="G19" i="33"/>
  <c r="G23" i="33" s="1"/>
  <c r="G24" i="33" s="1"/>
  <c r="G25" i="33" s="1"/>
  <c r="F26" i="12" l="1"/>
  <c r="G26" i="12" s="1"/>
  <c r="F27" i="12"/>
  <c r="G27" i="12" s="1"/>
  <c r="F29" i="12"/>
  <c r="G29" i="12" s="1"/>
  <c r="I48" i="32" l="1"/>
  <c r="G545" i="15"/>
  <c r="E30" i="15"/>
  <c r="F30" i="15" s="1"/>
  <c r="G463" i="15"/>
  <c r="G464" i="15" l="1"/>
  <c r="G465" i="15"/>
  <c r="G480" i="15"/>
  <c r="G481" i="15" s="1"/>
  <c r="E31" i="15"/>
  <c r="F31" i="15" s="1"/>
  <c r="G472" i="15"/>
  <c r="E7" i="15"/>
  <c r="F7" i="15" s="1"/>
  <c r="E858" i="15"/>
  <c r="F858" i="15" s="1"/>
  <c r="E33" i="15"/>
  <c r="F33" i="15" s="1"/>
  <c r="E10" i="15"/>
  <c r="F10" i="15" s="1"/>
  <c r="E251" i="15" l="1"/>
  <c r="F251" i="15" s="1"/>
  <c r="E899" i="15"/>
  <c r="F899" i="15" s="1"/>
  <c r="E126" i="15"/>
  <c r="E112" i="15" s="1"/>
  <c r="F112" i="15" s="1"/>
  <c r="F345" i="15"/>
  <c r="F308" i="15"/>
  <c r="E19" i="15"/>
  <c r="F19" i="15" s="1"/>
  <c r="F361" i="15"/>
  <c r="E141" i="15"/>
  <c r="E156" i="15" s="1"/>
  <c r="E8" i="15"/>
  <c r="F8" i="15" s="1"/>
  <c r="E42" i="15"/>
  <c r="F42" i="15" s="1"/>
  <c r="E21" i="15"/>
  <c r="F21" i="15" s="1"/>
  <c r="E536" i="15"/>
  <c r="F925" i="15" s="1"/>
  <c r="E1156" i="15"/>
  <c r="G1156" i="15" s="1"/>
  <c r="E1157" i="15" s="1"/>
  <c r="G1157" i="15" s="1"/>
  <c r="G1158" i="15" s="1"/>
  <c r="F24" i="12"/>
  <c r="G24" i="12" s="1"/>
  <c r="E46" i="15"/>
  <c r="F243" i="15"/>
  <c r="E272" i="15" l="1"/>
  <c r="E900" i="15"/>
  <c r="F900" i="15" s="1"/>
  <c r="E111" i="15"/>
  <c r="E125" i="15" s="1"/>
  <c r="E892" i="15"/>
  <c r="F892" i="15" s="1"/>
  <c r="E995" i="15"/>
  <c r="F995" i="15" s="1"/>
  <c r="E935" i="15"/>
  <c r="F935" i="15" s="1"/>
  <c r="E105" i="15"/>
  <c r="E965" i="15"/>
  <c r="F272" i="15"/>
  <c r="E149" i="15"/>
  <c r="F149" i="15" s="1"/>
  <c r="E209" i="15"/>
  <c r="E841" i="15" s="1"/>
  <c r="F841" i="15" s="1"/>
  <c r="E236" i="15"/>
  <c r="E219" i="15"/>
  <c r="F219" i="15" s="1"/>
  <c r="E246" i="15"/>
  <c r="E120" i="15"/>
  <c r="F147" i="15"/>
  <c r="F126" i="15"/>
  <c r="E44" i="15"/>
  <c r="F44" i="15" s="1"/>
  <c r="F536" i="15"/>
  <c r="E848" i="15"/>
  <c r="F848" i="15" s="1"/>
  <c r="E558" i="15"/>
  <c r="F558" i="15" s="1"/>
  <c r="E168" i="15"/>
  <c r="E177" i="15"/>
  <c r="E534" i="15"/>
  <c r="E526" i="15"/>
  <c r="F526" i="15" s="1"/>
  <c r="G474" i="15"/>
  <c r="G475" i="15" s="1"/>
  <c r="E15" i="15"/>
  <c r="F15" i="15" s="1"/>
  <c r="E38" i="15"/>
  <c r="F38" i="15" s="1"/>
  <c r="E37" i="15"/>
  <c r="F37" i="15" s="1"/>
  <c r="F18" i="12"/>
  <c r="G18" i="12" s="1"/>
  <c r="E45" i="15"/>
  <c r="F45" i="15" s="1"/>
  <c r="E16" i="15"/>
  <c r="F16" i="15" s="1"/>
  <c r="E39" i="15"/>
  <c r="F39" i="15" s="1"/>
  <c r="E43" i="15"/>
  <c r="F43" i="15" s="1"/>
  <c r="E20" i="15"/>
  <c r="F20" i="15" s="1"/>
  <c r="E17" i="15"/>
  <c r="F17" i="15" s="1"/>
  <c r="E40" i="15"/>
  <c r="F40" i="15" s="1"/>
  <c r="E11" i="15"/>
  <c r="F11" i="15" s="1"/>
  <c r="E34" i="15"/>
  <c r="F34" i="15" s="1"/>
  <c r="E22" i="15"/>
  <c r="F22" i="15" s="1"/>
  <c r="F46" i="15"/>
  <c r="E9" i="15"/>
  <c r="F9" i="15" s="1"/>
  <c r="E32" i="15"/>
  <c r="F32" i="15" s="1"/>
  <c r="E425" i="15"/>
  <c r="E109" i="15" l="1"/>
  <c r="E123" i="15" s="1"/>
  <c r="E895" i="15"/>
  <c r="F895" i="15" s="1"/>
  <c r="E94" i="15"/>
  <c r="E107" i="15"/>
  <c r="E121" i="15" s="1"/>
  <c r="E85" i="15"/>
  <c r="E862" i="15"/>
  <c r="E127" i="15"/>
  <c r="F534" i="15"/>
  <c r="F923" i="15"/>
  <c r="E599" i="15"/>
  <c r="G599" i="15" s="1"/>
  <c r="E904" i="15"/>
  <c r="F904" i="15" s="1"/>
  <c r="E896" i="15"/>
  <c r="F896" i="15" s="1"/>
  <c r="E86" i="15"/>
  <c r="E95" i="15"/>
  <c r="E108" i="15"/>
  <c r="E122" i="15" s="1"/>
  <c r="F965" i="15"/>
  <c r="E950" i="15"/>
  <c r="F950" i="15" s="1"/>
  <c r="E980" i="15"/>
  <c r="F980" i="15" s="1"/>
  <c r="F310" i="15"/>
  <c r="E441" i="15"/>
  <c r="F425" i="15"/>
  <c r="F246" i="15"/>
  <c r="E270" i="15"/>
  <c r="F270" i="15" s="1"/>
  <c r="F364" i="15"/>
  <c r="E379" i="15"/>
  <c r="F379" i="15" s="1"/>
  <c r="F236" i="15"/>
  <c r="E262" i="15"/>
  <c r="F340" i="15"/>
  <c r="F299" i="15"/>
  <c r="E240" i="15"/>
  <c r="E213" i="15"/>
  <c r="E843" i="15" s="1"/>
  <c r="F843" i="15" s="1"/>
  <c r="E138" i="15"/>
  <c r="F138" i="15" s="1"/>
  <c r="E248" i="15"/>
  <c r="E214" i="15"/>
  <c r="E844" i="15" s="1"/>
  <c r="F844" i="15" s="1"/>
  <c r="E241" i="15"/>
  <c r="F209" i="15"/>
  <c r="E140" i="15"/>
  <c r="E155" i="15" s="1"/>
  <c r="F155" i="15" s="1"/>
  <c r="E198" i="15"/>
  <c r="F198" i="15" s="1"/>
  <c r="E142" i="15"/>
  <c r="F142" i="15" s="1"/>
  <c r="F94" i="15"/>
  <c r="E136" i="15"/>
  <c r="E151" i="15" s="1"/>
  <c r="F151" i="15" s="1"/>
  <c r="F95" i="15"/>
  <c r="E137" i="15"/>
  <c r="E514" i="15"/>
  <c r="F514" i="15" s="1"/>
  <c r="E135" i="15"/>
  <c r="F135" i="15" s="1"/>
  <c r="E897" i="15"/>
  <c r="F897" i="15" s="1"/>
  <c r="F86" i="15"/>
  <c r="E564" i="15"/>
  <c r="F564" i="15" s="1"/>
  <c r="E562" i="15"/>
  <c r="E516" i="15"/>
  <c r="F516" i="15" s="1"/>
  <c r="E561" i="15"/>
  <c r="F561" i="15" s="1"/>
  <c r="E530" i="15"/>
  <c r="F108" i="15"/>
  <c r="E172" i="15"/>
  <c r="F172" i="15" s="1"/>
  <c r="F168" i="15"/>
  <c r="E188" i="15"/>
  <c r="F188" i="15" s="1"/>
  <c r="F177" i="15"/>
  <c r="E197" i="15"/>
  <c r="F197" i="15" s="1"/>
  <c r="F105" i="15"/>
  <c r="F111" i="15"/>
  <c r="F85" i="15"/>
  <c r="G466" i="15"/>
  <c r="E845" i="15"/>
  <c r="F845" i="15" s="1"/>
  <c r="Z321" i="15"/>
  <c r="E495" i="15"/>
  <c r="F495" i="15" s="1"/>
  <c r="E175" i="15"/>
  <c r="E171" i="15"/>
  <c r="E515" i="15"/>
  <c r="E529" i="15" s="1"/>
  <c r="F529" i="15" s="1"/>
  <c r="E560" i="15"/>
  <c r="E901" i="15"/>
  <c r="F901" i="15" s="1"/>
  <c r="E14" i="15"/>
  <c r="F14" i="15" s="1"/>
  <c r="F17" i="12"/>
  <c r="G17" i="12" s="1"/>
  <c r="F43" i="12"/>
  <c r="G43" i="12" s="1"/>
  <c r="F44" i="12"/>
  <c r="G44" i="12" s="1"/>
  <c r="E12" i="15"/>
  <c r="F12" i="15" s="1"/>
  <c r="E35" i="15"/>
  <c r="F35" i="15" s="1"/>
  <c r="E13" i="15"/>
  <c r="F13" i="15" s="1"/>
  <c r="E36" i="15"/>
  <c r="F36" i="15" s="1"/>
  <c r="F1003" i="15"/>
  <c r="F311" i="15" l="1"/>
  <c r="E871" i="15"/>
  <c r="F871" i="15" s="1"/>
  <c r="E533" i="15"/>
  <c r="F533" i="15" s="1"/>
  <c r="E903" i="15"/>
  <c r="F903" i="15" s="1"/>
  <c r="E217" i="15"/>
  <c r="F217" i="15" s="1"/>
  <c r="E902" i="15"/>
  <c r="F902" i="15" s="1"/>
  <c r="F922" i="15"/>
  <c r="E967" i="15"/>
  <c r="F872" i="15"/>
  <c r="E898" i="15"/>
  <c r="F898" i="15" s="1"/>
  <c r="F862" i="15"/>
  <c r="E929" i="15"/>
  <c r="F929" i="15" s="1"/>
  <c r="E106" i="15"/>
  <c r="E966" i="15"/>
  <c r="E893" i="15"/>
  <c r="F893" i="15" s="1"/>
  <c r="E936" i="15"/>
  <c r="F936" i="15" s="1"/>
  <c r="E996" i="15"/>
  <c r="F996" i="15" s="1"/>
  <c r="E119" i="15"/>
  <c r="F284" i="15"/>
  <c r="F562" i="15"/>
  <c r="E598" i="15"/>
  <c r="G598" i="15" s="1"/>
  <c r="F140" i="15"/>
  <c r="F303" i="15"/>
  <c r="F344" i="15"/>
  <c r="F307" i="15"/>
  <c r="F241" i="15"/>
  <c r="E266" i="15"/>
  <c r="F262" i="15"/>
  <c r="F248" i="15"/>
  <c r="E269" i="15"/>
  <c r="F240" i="15"/>
  <c r="E265" i="15"/>
  <c r="F347" i="15"/>
  <c r="E153" i="15"/>
  <c r="F153" i="15" s="1"/>
  <c r="F503" i="15"/>
  <c r="E242" i="15"/>
  <c r="E215" i="15"/>
  <c r="F215" i="15" s="1"/>
  <c r="E220" i="15"/>
  <c r="F220" i="15" s="1"/>
  <c r="E238" i="15"/>
  <c r="F238" i="15" s="1"/>
  <c r="E211" i="15"/>
  <c r="F211" i="15" s="1"/>
  <c r="E535" i="15"/>
  <c r="E216" i="15"/>
  <c r="F216" i="15" s="1"/>
  <c r="E247" i="15"/>
  <c r="F214" i="15"/>
  <c r="F213" i="15"/>
  <c r="E237" i="15"/>
  <c r="E210" i="15"/>
  <c r="E842" i="15" s="1"/>
  <c r="F842" i="15" s="1"/>
  <c r="F850" i="15" s="1"/>
  <c r="F106" i="15"/>
  <c r="E173" i="15"/>
  <c r="F173" i="15" s="1"/>
  <c r="E152" i="15"/>
  <c r="F152" i="15" s="1"/>
  <c r="F137" i="15"/>
  <c r="E150" i="15"/>
  <c r="F150" i="15" s="1"/>
  <c r="E187" i="15"/>
  <c r="F187" i="15" s="1"/>
  <c r="E134" i="15"/>
  <c r="F134" i="15" s="1"/>
  <c r="F97" i="15"/>
  <c r="R13" i="32" s="1"/>
  <c r="E527" i="15"/>
  <c r="F527" i="15" s="1"/>
  <c r="E169" i="15"/>
  <c r="E189" i="15" s="1"/>
  <c r="F189" i="15" s="1"/>
  <c r="E559" i="15"/>
  <c r="F559" i="15" s="1"/>
  <c r="F125" i="15"/>
  <c r="F127" i="15"/>
  <c r="F141" i="15"/>
  <c r="F88" i="15"/>
  <c r="F13" i="32" s="1"/>
  <c r="G13" i="32" s="1"/>
  <c r="E483" i="15"/>
  <c r="G483" i="15" s="1"/>
  <c r="F499" i="15"/>
  <c r="F560" i="15"/>
  <c r="E547" i="15"/>
  <c r="G547" i="15" s="1"/>
  <c r="G550" i="15" s="1"/>
  <c r="R32" i="32" s="1"/>
  <c r="F530" i="15"/>
  <c r="E192" i="15"/>
  <c r="F192" i="15" s="1"/>
  <c r="F171" i="15"/>
  <c r="E191" i="15"/>
  <c r="F191" i="15" s="1"/>
  <c r="F175" i="15"/>
  <c r="E195" i="15"/>
  <c r="F195" i="15" s="1"/>
  <c r="F107" i="15"/>
  <c r="F121" i="15"/>
  <c r="F109" i="15"/>
  <c r="F120" i="15"/>
  <c r="F515" i="15"/>
  <c r="F520" i="15" s="1"/>
  <c r="E174" i="15"/>
  <c r="Z317" i="15"/>
  <c r="Z324" i="15" s="1"/>
  <c r="F41" i="12"/>
  <c r="G41" i="12" s="1"/>
  <c r="F49" i="15"/>
  <c r="F13" i="12" s="1"/>
  <c r="G13" i="12" s="1"/>
  <c r="F46" i="12"/>
  <c r="G46" i="12" s="1"/>
  <c r="F38" i="12"/>
  <c r="G38" i="12" s="1"/>
  <c r="F39" i="12"/>
  <c r="G39" i="12" s="1"/>
  <c r="F42" i="12"/>
  <c r="F25" i="15"/>
  <c r="R30" i="32" l="1"/>
  <c r="S30" i="32" s="1"/>
  <c r="F34" i="32"/>
  <c r="G34" i="32" s="1"/>
  <c r="F877" i="15"/>
  <c r="F535" i="15"/>
  <c r="F924" i="15"/>
  <c r="F967" i="15"/>
  <c r="E937" i="15"/>
  <c r="F937" i="15" s="1"/>
  <c r="E952" i="15"/>
  <c r="F952" i="15" s="1"/>
  <c r="E982" i="15"/>
  <c r="F982" i="15" s="1"/>
  <c r="F860" i="15"/>
  <c r="F863" i="15" s="1"/>
  <c r="E927" i="15"/>
  <c r="F927" i="15" s="1"/>
  <c r="F919" i="15"/>
  <c r="E999" i="15"/>
  <c r="F999" i="15" s="1"/>
  <c r="F504" i="15"/>
  <c r="F966" i="15"/>
  <c r="E981" i="15"/>
  <c r="F981" i="15" s="1"/>
  <c r="E951" i="15"/>
  <c r="F951" i="15" s="1"/>
  <c r="S13" i="32"/>
  <c r="F325" i="15"/>
  <c r="S32" i="32"/>
  <c r="G601" i="15"/>
  <c r="F40" i="32" s="1"/>
  <c r="G40" i="32" s="1"/>
  <c r="F363" i="15"/>
  <c r="E378" i="15"/>
  <c r="F247" i="15"/>
  <c r="F305" i="15"/>
  <c r="F269" i="15"/>
  <c r="F266" i="15"/>
  <c r="F242" i="15"/>
  <c r="F237" i="15"/>
  <c r="E263" i="15"/>
  <c r="F265" i="15"/>
  <c r="F285" i="15"/>
  <c r="F210" i="15"/>
  <c r="F222" i="15" s="1"/>
  <c r="F20" i="32" s="1"/>
  <c r="G20" i="32" s="1"/>
  <c r="E531" i="15"/>
  <c r="E244" i="15"/>
  <c r="F169" i="15"/>
  <c r="E193" i="15"/>
  <c r="F193" i="15" s="1"/>
  <c r="F14" i="12"/>
  <c r="G14" i="12" s="1"/>
  <c r="F496" i="15"/>
  <c r="E906" i="15"/>
  <c r="F906" i="15" s="1"/>
  <c r="F156" i="15"/>
  <c r="F157" i="15" s="1"/>
  <c r="F17" i="32" s="1"/>
  <c r="G17" i="32" s="1"/>
  <c r="F123" i="15"/>
  <c r="F119" i="15"/>
  <c r="F133" i="15"/>
  <c r="F122" i="15"/>
  <c r="F136" i="15"/>
  <c r="F498" i="15"/>
  <c r="E482" i="15"/>
  <c r="G482" i="15" s="1"/>
  <c r="G484" i="15" s="1"/>
  <c r="F19" i="12"/>
  <c r="G19" i="12" s="1"/>
  <c r="F174" i="15"/>
  <c r="E194" i="15"/>
  <c r="F194" i="15" s="1"/>
  <c r="F113" i="15"/>
  <c r="F15" i="12"/>
  <c r="G15" i="12" s="1"/>
  <c r="F566" i="15"/>
  <c r="F20" i="12"/>
  <c r="G20" i="12" s="1"/>
  <c r="F21" i="12"/>
  <c r="G21" i="12" s="1"/>
  <c r="F37" i="12"/>
  <c r="G37" i="12" s="1"/>
  <c r="F22" i="12"/>
  <c r="G22" i="12" s="1"/>
  <c r="E907" i="15"/>
  <c r="F907" i="15" s="1"/>
  <c r="F35" i="12"/>
  <c r="G35" i="12" s="1"/>
  <c r="F40" i="12"/>
  <c r="G40" i="12" s="1"/>
  <c r="F36" i="12"/>
  <c r="G36" i="12" s="1"/>
  <c r="F33" i="12"/>
  <c r="G33" i="12" s="1"/>
  <c r="F48" i="12"/>
  <c r="G48" i="12" s="1"/>
  <c r="F47" i="12"/>
  <c r="G47" i="12" s="1"/>
  <c r="F34" i="12"/>
  <c r="G34" i="12" s="1"/>
  <c r="R28" i="32" l="1"/>
  <c r="S28" i="32" s="1"/>
  <c r="F32" i="32"/>
  <c r="G32" i="32" s="1"/>
  <c r="R14" i="32"/>
  <c r="S14" i="32" s="1"/>
  <c r="F14" i="32"/>
  <c r="G14" i="32" s="1"/>
  <c r="R33" i="32"/>
  <c r="S33" i="32" s="1"/>
  <c r="F36" i="32"/>
  <c r="G36" i="32" s="1"/>
  <c r="I14" i="32"/>
  <c r="F909" i="15"/>
  <c r="E968" i="15"/>
  <c r="F1002" i="15"/>
  <c r="I13" i="32"/>
  <c r="I39" i="32"/>
  <c r="I41" i="32"/>
  <c r="E393" i="15"/>
  <c r="F378" i="15"/>
  <c r="F244" i="15"/>
  <c r="F254" i="15" s="1"/>
  <c r="F21" i="32" s="1"/>
  <c r="G21" i="32" s="1"/>
  <c r="E267" i="15"/>
  <c r="F293" i="15"/>
  <c r="E356" i="15"/>
  <c r="F326" i="15"/>
  <c r="F292" i="15"/>
  <c r="F334" i="15"/>
  <c r="F294" i="15"/>
  <c r="F531" i="15"/>
  <c r="F538" i="15" s="1"/>
  <c r="F263" i="15"/>
  <c r="F342" i="15"/>
  <c r="F304" i="15"/>
  <c r="F200" i="15"/>
  <c r="F179" i="15"/>
  <c r="F143" i="15"/>
  <c r="F16" i="32" s="1"/>
  <c r="G16" i="32" s="1"/>
  <c r="F506" i="15"/>
  <c r="F128" i="15"/>
  <c r="F15" i="32" s="1"/>
  <c r="G15" i="32" s="1"/>
  <c r="F16" i="12"/>
  <c r="G16" i="12" s="1"/>
  <c r="F23" i="12"/>
  <c r="G23" i="12" s="1"/>
  <c r="R31" i="32" l="1"/>
  <c r="S31" i="32" s="1"/>
  <c r="F35" i="32"/>
  <c r="G35" i="32" s="1"/>
  <c r="R16" i="32"/>
  <c r="S16" i="32" s="1"/>
  <c r="F19" i="32"/>
  <c r="G19" i="32" s="1"/>
  <c r="R15" i="32"/>
  <c r="S15" i="32" s="1"/>
  <c r="F18" i="32"/>
  <c r="G18" i="32" s="1"/>
  <c r="R29" i="32"/>
  <c r="S29" i="32" s="1"/>
  <c r="F33" i="32"/>
  <c r="G33" i="32" s="1"/>
  <c r="I46" i="32"/>
  <c r="F942" i="15"/>
  <c r="F957" i="15"/>
  <c r="F987" i="15"/>
  <c r="F972" i="15"/>
  <c r="F920" i="15"/>
  <c r="F930" i="15" s="1"/>
  <c r="E938" i="15"/>
  <c r="F938" i="15" s="1"/>
  <c r="E953" i="15"/>
  <c r="F953" i="15" s="1"/>
  <c r="E983" i="15"/>
  <c r="F983" i="15" s="1"/>
  <c r="F968" i="15"/>
  <c r="I15" i="32"/>
  <c r="I37" i="32"/>
  <c r="I18" i="32"/>
  <c r="I42" i="32"/>
  <c r="I21" i="32"/>
  <c r="E408" i="15"/>
  <c r="F393" i="15"/>
  <c r="E359" i="15"/>
  <c r="F332" i="15"/>
  <c r="F333" i="15"/>
  <c r="E371" i="15"/>
  <c r="F356" i="15"/>
  <c r="F313" i="15"/>
  <c r="F286" i="15"/>
  <c r="F267" i="15"/>
  <c r="F274" i="15" s="1"/>
  <c r="G50" i="12"/>
  <c r="G6" i="30" s="1"/>
  <c r="G5" i="30" s="1"/>
  <c r="F22" i="32" l="1"/>
  <c r="R17" i="32"/>
  <c r="G22" i="32"/>
  <c r="S17" i="32"/>
  <c r="F1001" i="15"/>
  <c r="F1006" i="15" s="1"/>
  <c r="I40" i="32"/>
  <c r="I22" i="32"/>
  <c r="I38" i="32"/>
  <c r="I20" i="32"/>
  <c r="I16" i="32"/>
  <c r="I19" i="32"/>
  <c r="I17" i="32"/>
  <c r="F315" i="15"/>
  <c r="F23" i="32" s="1"/>
  <c r="G23" i="32" s="1"/>
  <c r="F371" i="15"/>
  <c r="E386" i="15"/>
  <c r="F362" i="15"/>
  <c r="E424" i="15"/>
  <c r="F408" i="15"/>
  <c r="E357" i="15"/>
  <c r="F327" i="15"/>
  <c r="E374" i="15"/>
  <c r="F359" i="15"/>
  <c r="F441" i="15"/>
  <c r="F349" i="15"/>
  <c r="F351" i="15" s="1"/>
  <c r="F24" i="32" s="1"/>
  <c r="G24" i="32" s="1"/>
  <c r="E390" i="15"/>
  <c r="E405" i="15" s="1"/>
  <c r="F360" i="15"/>
  <c r="G51" i="12"/>
  <c r="G52" i="12"/>
  <c r="D52" i="30"/>
  <c r="G52" i="30" s="1"/>
  <c r="G79" i="30"/>
  <c r="F986" i="15" l="1"/>
  <c r="F991" i="15" s="1"/>
  <c r="F941" i="15"/>
  <c r="F946" i="15" s="1"/>
  <c r="F971" i="15"/>
  <c r="F976" i="15" s="1"/>
  <c r="E956" i="15"/>
  <c r="F956" i="15" s="1"/>
  <c r="F961" i="15" s="1"/>
  <c r="I23" i="32"/>
  <c r="F424" i="15"/>
  <c r="E440" i="15"/>
  <c r="F440" i="15" s="1"/>
  <c r="F374" i="15"/>
  <c r="E389" i="15"/>
  <c r="E401" i="15"/>
  <c r="F386" i="15"/>
  <c r="E392" i="15"/>
  <c r="F377" i="15"/>
  <c r="E372" i="15"/>
  <c r="F357" i="15"/>
  <c r="F367" i="15" s="1"/>
  <c r="F390" i="15"/>
  <c r="G53" i="12"/>
  <c r="G6" i="12" s="1"/>
  <c r="G8" i="12" s="1"/>
  <c r="D48" i="30"/>
  <c r="D51" i="30"/>
  <c r="G51" i="30" s="1"/>
  <c r="D46" i="30"/>
  <c r="G46" i="30" s="1"/>
  <c r="D49" i="30"/>
  <c r="G49" i="30" s="1"/>
  <c r="D47" i="30"/>
  <c r="G47" i="30" s="1"/>
  <c r="D53" i="30"/>
  <c r="G53" i="30" s="1"/>
  <c r="D40" i="30"/>
  <c r="G40" i="30" s="1"/>
  <c r="G42" i="30" s="1"/>
  <c r="F45" i="12"/>
  <c r="G45" i="12" s="1"/>
  <c r="R18" i="32" l="1"/>
  <c r="S18" i="32" s="1"/>
  <c r="F25" i="32"/>
  <c r="G25" i="32" s="1"/>
  <c r="I25" i="32"/>
  <c r="I24" i="32"/>
  <c r="E407" i="15"/>
  <c r="F392" i="15"/>
  <c r="E404" i="15"/>
  <c r="F389" i="15"/>
  <c r="F372" i="15"/>
  <c r="E387" i="15"/>
  <c r="E417" i="15"/>
  <c r="F401" i="15"/>
  <c r="E421" i="15"/>
  <c r="F405" i="15"/>
  <c r="D50" i="30"/>
  <c r="G55" i="30"/>
  <c r="G77" i="30" s="1"/>
  <c r="F77" i="30" s="1"/>
  <c r="F81" i="30" s="1"/>
  <c r="G81" i="30" s="1"/>
  <c r="I26" i="32" l="1"/>
  <c r="F417" i="15"/>
  <c r="E433" i="15"/>
  <c r="F433" i="15" s="1"/>
  <c r="E420" i="15"/>
  <c r="F404" i="15"/>
  <c r="E402" i="15"/>
  <c r="F387" i="15"/>
  <c r="F397" i="15" s="1"/>
  <c r="E423" i="15"/>
  <c r="F407" i="15"/>
  <c r="F375" i="15"/>
  <c r="F382" i="15" s="1"/>
  <c r="E437" i="15"/>
  <c r="F437" i="15" s="1"/>
  <c r="F421" i="15"/>
  <c r="G54" i="33"/>
  <c r="G55" i="33"/>
  <c r="R20" i="32" l="1"/>
  <c r="S20" i="32" s="1"/>
  <c r="F27" i="32"/>
  <c r="G27" i="32" s="1"/>
  <c r="R19" i="32"/>
  <c r="S19" i="32" s="1"/>
  <c r="F26" i="32"/>
  <c r="G26" i="32" s="1"/>
  <c r="E418" i="15"/>
  <c r="F402" i="15"/>
  <c r="F412" i="15" s="1"/>
  <c r="E439" i="15"/>
  <c r="F439" i="15" s="1"/>
  <c r="F423" i="15"/>
  <c r="E436" i="15"/>
  <c r="F436" i="15" s="1"/>
  <c r="F420" i="15"/>
  <c r="R21" i="32" l="1"/>
  <c r="S21" i="32" s="1"/>
  <c r="F28" i="32"/>
  <c r="G28" i="32" s="1"/>
  <c r="I27" i="32"/>
  <c r="I28" i="32"/>
  <c r="F418" i="15"/>
  <c r="F428" i="15" s="1"/>
  <c r="E434" i="15"/>
  <c r="F434" i="15" s="1"/>
  <c r="F444" i="15" s="1"/>
  <c r="R23" i="32" l="1"/>
  <c r="S23" i="32" s="1"/>
  <c r="F30" i="32"/>
  <c r="G30" i="32" s="1"/>
  <c r="R22" i="32"/>
  <c r="S22" i="32" s="1"/>
  <c r="F29" i="32"/>
  <c r="G29" i="32" s="1"/>
  <c r="I29" i="32"/>
  <c r="I30" i="32" l="1"/>
  <c r="I31" i="32"/>
  <c r="S26" i="32" l="1"/>
  <c r="I35" i="32"/>
  <c r="S34" i="32" l="1"/>
  <c r="S27" i="32"/>
  <c r="I36" i="32"/>
  <c r="I61" i="32" s="1"/>
  <c r="I62" i="32" l="1"/>
  <c r="I63" i="32"/>
  <c r="S36" i="32"/>
  <c r="S35" i="32"/>
  <c r="I64" i="32" l="1"/>
  <c r="S25" i="32" l="1"/>
  <c r="G53" i="32"/>
  <c r="S37" i="32" l="1"/>
  <c r="G54" i="32"/>
  <c r="G55" i="32"/>
  <c r="G6" i="33"/>
  <c r="G81" i="33" s="1"/>
  <c r="G56" i="32" l="1"/>
  <c r="S24" i="32"/>
  <c r="S49" i="32" s="1"/>
  <c r="G6" i="32" l="1"/>
  <c r="G8" i="32" s="1"/>
  <c r="G5" i="33"/>
  <c r="D47" i="33" s="1"/>
  <c r="G47" i="33" s="1"/>
  <c r="S50" i="32"/>
  <c r="S51" i="32"/>
  <c r="G6" i="34"/>
  <c r="G81" i="34" s="1"/>
  <c r="D53" i="33" l="1"/>
  <c r="G53" i="33" s="1"/>
  <c r="D52" i="33"/>
  <c r="G52" i="33" s="1"/>
  <c r="D49" i="33"/>
  <c r="G49" i="33" s="1"/>
  <c r="D50" i="33"/>
  <c r="G50" i="33" s="1"/>
  <c r="D51" i="33"/>
  <c r="G51" i="33" s="1"/>
  <c r="D48" i="33"/>
  <c r="G48" i="33" s="1"/>
  <c r="D41" i="33"/>
  <c r="G41" i="33" s="1"/>
  <c r="G43" i="33" s="1"/>
  <c r="S52" i="32"/>
  <c r="G57" i="33" l="1"/>
  <c r="J37" i="33" s="1"/>
  <c r="G5" i="34"/>
  <c r="D52" i="34" s="1"/>
  <c r="G52" i="34" s="1"/>
  <c r="N59" i="32"/>
  <c r="S6" i="32"/>
  <c r="S8" i="32" s="1"/>
  <c r="D47" i="34" l="1"/>
  <c r="G47" i="34" s="1"/>
  <c r="D51" i="34"/>
  <c r="G51" i="34" s="1"/>
  <c r="D48" i="34"/>
  <c r="G48" i="34" s="1"/>
  <c r="D53" i="34"/>
  <c r="G53" i="34" s="1"/>
  <c r="D41" i="34"/>
  <c r="G41" i="34" s="1"/>
  <c r="G43" i="34" s="1"/>
  <c r="D49" i="34"/>
  <c r="G49" i="34" s="1"/>
  <c r="G79" i="33"/>
  <c r="G83" i="33" s="1"/>
  <c r="I79" i="33"/>
  <c r="D50" i="34"/>
  <c r="G50" i="34" s="1"/>
  <c r="I81" i="33"/>
  <c r="G57" i="34" l="1"/>
  <c r="J37" i="34" s="1"/>
  <c r="J79" i="33"/>
  <c r="I81" i="34" l="1"/>
  <c r="I79" i="34"/>
  <c r="G79" i="34"/>
  <c r="G83" i="34" l="1"/>
</calcChain>
</file>

<file path=xl/sharedStrings.xml><?xml version="1.0" encoding="utf-8"?>
<sst xmlns="http://schemas.openxmlformats.org/spreadsheetml/2006/main" count="3513" uniqueCount="647">
  <si>
    <t>UND</t>
  </si>
  <si>
    <t>CANT</t>
  </si>
  <si>
    <t>VLR. UNIT.</t>
  </si>
  <si>
    <t>m2</t>
  </si>
  <si>
    <t>m3</t>
  </si>
  <si>
    <t xml:space="preserve">COSTO DIRECTO </t>
  </si>
  <si>
    <t>ÍTEM</t>
  </si>
  <si>
    <t>DESCRIPCIÓN</t>
  </si>
  <si>
    <t>CANT.</t>
  </si>
  <si>
    <t>VLR. TOTAL</t>
  </si>
  <si>
    <t>Gl</t>
  </si>
  <si>
    <t>Lb</t>
  </si>
  <si>
    <t>Día</t>
  </si>
  <si>
    <t>Herramienta menor</t>
  </si>
  <si>
    <t>%MO</t>
  </si>
  <si>
    <t>Acarreo horizontal</t>
  </si>
  <si>
    <t xml:space="preserve">Afirmado </t>
  </si>
  <si>
    <t>Vibrocompactador manual</t>
  </si>
  <si>
    <t>Kg</t>
  </si>
  <si>
    <t>ACPM</t>
  </si>
  <si>
    <t>Antisol blanco</t>
  </si>
  <si>
    <t>Ensayo de resistencia concreto</t>
  </si>
  <si>
    <t>M2</t>
  </si>
  <si>
    <t>Un</t>
  </si>
  <si>
    <t>Cuadrilla E 1 Of + 1 Ay (jornal + prestaciones)</t>
  </si>
  <si>
    <t>Herramienta menor (% mano obra)</t>
  </si>
  <si>
    <t>Cemento gris saco por 50 kilos, incluye cargue, descargue y transporte</t>
  </si>
  <si>
    <t>Sc</t>
  </si>
  <si>
    <t>Arena</t>
  </si>
  <si>
    <t>Lt</t>
  </si>
  <si>
    <t>Cuadrilla A 1 Of + 4 Ay (jornal + prestaciones)</t>
  </si>
  <si>
    <t>M</t>
  </si>
  <si>
    <t>Oficial (jornal + prestaciones)</t>
  </si>
  <si>
    <t>Maestro de obra</t>
  </si>
  <si>
    <t>Cuadrilla G 1 Of + 2 Ay (jornal + prestaciones)</t>
  </si>
  <si>
    <t>Cuadrilla C 1 Of + 7 Ay (jornal + prestaciones)</t>
  </si>
  <si>
    <t>Cuadrilla H 4 Ay (jornal + prestaciones)</t>
  </si>
  <si>
    <t>Cuadrilla J (1 Of eléctrico+1Ay eléctrico) (jornal + prestaciones)</t>
  </si>
  <si>
    <t xml:space="preserve">Alambre negro calibre 18 </t>
  </si>
  <si>
    <t>Acero Fy = 60.000 psi d&gt;1/4" puesto en obra</t>
  </si>
  <si>
    <t>M3</t>
  </si>
  <si>
    <t xml:space="preserve">Agua </t>
  </si>
  <si>
    <t>Concretadora gasolina de 1 o 1 1/2 sacos</t>
  </si>
  <si>
    <t>UN</t>
  </si>
  <si>
    <t>Ayudante (jornal + prestaciones)</t>
  </si>
  <si>
    <t>Ayudante práctico (jornal + prestaciones)</t>
  </si>
  <si>
    <t>Transporte material (corte, sub-base, base, afirmado, Petreos, arenas, etc)</t>
  </si>
  <si>
    <t>% MO</t>
  </si>
  <si>
    <t>Cinta de señalización cal 6</t>
  </si>
  <si>
    <t>Cuartón de sajo 2" x 4" x 2,9 m</t>
  </si>
  <si>
    <t>Gasolina</t>
  </si>
  <si>
    <t>Guadua basa longitud promedio = 5 m</t>
  </si>
  <si>
    <t>Material granular seleccionado</t>
  </si>
  <si>
    <t>Paleta pare - siga en polietileno y texto reflectivo, de 45 cm</t>
  </si>
  <si>
    <t>Puntilla (promedio)</t>
  </si>
  <si>
    <t>Soldadura PVC Gerfor 250 cm3</t>
  </si>
  <si>
    <t>Tabla para formaleta de 1" x 10" x 2,9 m</t>
  </si>
  <si>
    <t>Tela de cerramiento a = 2,10 m (rollo por 100 m)</t>
  </si>
  <si>
    <t>Telera de 3,5 x 24 cm x 2,9 m de sajo</t>
  </si>
  <si>
    <t>Tubería PVC conduit de 1/2"</t>
  </si>
  <si>
    <t xml:space="preserve">Varillón de sajo 3x3 </t>
  </si>
  <si>
    <t>Vaselina</t>
  </si>
  <si>
    <t>un</t>
  </si>
  <si>
    <t>kg</t>
  </si>
  <si>
    <t>m</t>
  </si>
  <si>
    <t>Taco metálico de 2 - &gt;3 m</t>
  </si>
  <si>
    <t>Dia</t>
  </si>
  <si>
    <t>Cortadora de concreto con disco</t>
  </si>
  <si>
    <t>Compactador  manual (canguro)</t>
  </si>
  <si>
    <t>Tablero formaleta 45*135</t>
  </si>
  <si>
    <t>Tablero formaleta 90*135</t>
  </si>
  <si>
    <t>Taladro percutor</t>
  </si>
  <si>
    <t>ITEM</t>
  </si>
  <si>
    <t>Impermeabilizante para concreto</t>
  </si>
  <si>
    <t>Acelerante</t>
  </si>
  <si>
    <t>Malla electrosoldada M-188  Φ 6.00 mm c/.15m en ambos sentidos (incluye alambre negro, colocación y traslapo).</t>
  </si>
  <si>
    <t>Disposición en botadero</t>
  </si>
  <si>
    <t>DIA</t>
  </si>
  <si>
    <t>Equipo de soldadura eléctrica</t>
  </si>
  <si>
    <t>Cerramiento provisional con señalizador y tela de cerramiento</t>
  </si>
  <si>
    <t>ml</t>
  </si>
  <si>
    <t>Señales preventivas</t>
  </si>
  <si>
    <t>Tubo PVC 4" tipo TDP por 6.00m</t>
  </si>
  <si>
    <t>Retiro de sobrantes a escombrera certificada</t>
  </si>
  <si>
    <t>Formaleta</t>
  </si>
  <si>
    <t>Cambio de rejillas camara transformado cra 8 entre calles 21 a 22</t>
  </si>
  <si>
    <t>und</t>
  </si>
  <si>
    <t>MEMORIA DE CANTIDADES DE OBRA</t>
  </si>
  <si>
    <t>(espacio logo contratista)</t>
  </si>
  <si>
    <t>(fecha)</t>
  </si>
  <si>
    <t>Contrato  No.</t>
  </si>
  <si>
    <t>Año</t>
  </si>
  <si>
    <t>Objeto</t>
  </si>
  <si>
    <t>Ítem:</t>
  </si>
  <si>
    <t xml:space="preserve">Descripción: </t>
  </si>
  <si>
    <t>Unidad:</t>
  </si>
  <si>
    <t>Cantidad Total:</t>
  </si>
  <si>
    <t>REGISTRO  FOTOGRAFICO</t>
  </si>
  <si>
    <t>UBICACIÓN</t>
  </si>
  <si>
    <t>DIMENSIONES</t>
  </si>
  <si>
    <t>SUBTOTAL</t>
  </si>
  <si>
    <t>Ancho</t>
  </si>
  <si>
    <t>Largo</t>
  </si>
  <si>
    <t>Alto</t>
  </si>
  <si>
    <t>Firma</t>
  </si>
  <si>
    <t>OBSERVACIONES:</t>
  </si>
  <si>
    <t>Nombre</t>
  </si>
  <si>
    <t>ING. CESAR AUGUSTO MONTOYA ROMAN</t>
  </si>
  <si>
    <t xml:space="preserve">Fecha </t>
  </si>
  <si>
    <t>Cargo</t>
  </si>
  <si>
    <t>Residente de obra</t>
  </si>
  <si>
    <t>INTERVENTOR</t>
  </si>
  <si>
    <t>CONTRATO  N°:</t>
  </si>
  <si>
    <t>OBJETO:</t>
  </si>
  <si>
    <t xml:space="preserve">VALOR INICIAL CONTRATO :  </t>
  </si>
  <si>
    <t xml:space="preserve">VALOR  ADICION : </t>
  </si>
  <si>
    <t xml:space="preserve">VALOR  DEL CONTRATO : </t>
  </si>
  <si>
    <t>CONTRATISTA :</t>
  </si>
  <si>
    <t>INTERVENTORIA :</t>
  </si>
  <si>
    <t>EMPRESA DE ENERGÍA DE PEREIRA</t>
  </si>
  <si>
    <t>DESCRIPCION</t>
  </si>
  <si>
    <t>VR / UNIT</t>
  </si>
  <si>
    <t>VR / PARCIAL</t>
  </si>
  <si>
    <t>COSTO DIRECTO</t>
  </si>
  <si>
    <t>ADMINISTRACION</t>
  </si>
  <si>
    <t>%</t>
  </si>
  <si>
    <t>UTILIDAD</t>
  </si>
  <si>
    <t>VALOR TOTAL</t>
  </si>
  <si>
    <t>OBRA CIVIL ADICIONAL PARA LA REMODELACION DEL CIRCUITO 2DQ ( ETAPA 1 ) CLL21 - CLL27 ENTRE CRA 7 A CRA 9</t>
  </si>
  <si>
    <t>APUS GENERALES</t>
  </si>
  <si>
    <t>Cerramiento con cinta de señalización, incluye señalizador tubular, dos cintas</t>
  </si>
  <si>
    <t>Señalizador tubular de 1,30 m (2 líneas de cinta)</t>
  </si>
  <si>
    <t>Puente peatonal en madera con pasamanos</t>
  </si>
  <si>
    <t>Desmonte de adoquines</t>
  </si>
  <si>
    <t>glb</t>
  </si>
  <si>
    <t>Trasiego de material sobrante al sitio de acopio</t>
  </si>
  <si>
    <t>Tubo PVC 6" tipo TDP por 6.00m</t>
  </si>
  <si>
    <t xml:space="preserve">Limpiador removedor PVC de 760 grs </t>
  </si>
  <si>
    <t>Pote</t>
  </si>
  <si>
    <t xml:space="preserve">Soldadura liquida para PVC 1/4 galon </t>
  </si>
  <si>
    <t xml:space="preserve">Perforacion manual </t>
  </si>
  <si>
    <t>Concreto Impermeabilizado 20.7 MPa. (Grava de 1")</t>
  </si>
  <si>
    <t>Reinstalación de adoquín peatonal existente incluye arena</t>
  </si>
  <si>
    <t xml:space="preserve">barreno manual </t>
  </si>
  <si>
    <t>dia</t>
  </si>
  <si>
    <t>Acero Fy=414 Mpa. d&gt;1/4" Co+Fi+Ar</t>
  </si>
  <si>
    <t>kg.</t>
  </si>
  <si>
    <t xml:space="preserve">Perforación Microtunel (4 Vías x 4") + Ducto TDP 4" incluye la tubería. </t>
  </si>
  <si>
    <t xml:space="preserve">Carrera 8 entre calles 26 y 27. De cámara de barraje (norte) a cámara de transformador (sur).  </t>
  </si>
  <si>
    <t xml:space="preserve">Carrera 8 con cll 27 costado sur. De cárcamo a cárcamo. </t>
  </si>
  <si>
    <t>Excavación en material común seco de 0 - 2 m manual</t>
  </si>
  <si>
    <t>Tubería PVC sanitaria de 4", incluye accesorios</t>
  </si>
  <si>
    <t>Instalación de tapa de seguridad en lámina de acero cold-rolled e=3/8"</t>
  </si>
  <si>
    <t>UND - UND</t>
  </si>
  <si>
    <t>Desmonte y sello de tapa de seguridad e=15cm</t>
  </si>
  <si>
    <t xml:space="preserve">Cra 9 entre calles 23 y 24 costado norte </t>
  </si>
  <si>
    <t>Rejilla &lt; 11/4"x3/16" y platina de 1"x1/4"</t>
  </si>
  <si>
    <t>Viaje</t>
  </si>
  <si>
    <t>UND - M2</t>
  </si>
  <si>
    <t xml:space="preserve">Corte con disco de andén en concreto </t>
  </si>
  <si>
    <t>Demolición de anden en concreto e≈12cm</t>
  </si>
  <si>
    <t>Lleno compactado con material granular</t>
  </si>
  <si>
    <t>Malla Electrosoldada calibre 6mm (Ojo 15x15) (incluye alambre negro, colocación y traslapo).</t>
  </si>
  <si>
    <t xml:space="preserve">Tubo Conduit PVC de 1" a 2" </t>
  </si>
  <si>
    <t>Escalera de gato D=3/4" L=1.1m+Anclaje+Epoxico</t>
  </si>
  <si>
    <t>Tapa de seguridad (D=50cm Lámina de acero cold-Rolled e=3/8")</t>
  </si>
  <si>
    <t xml:space="preserve">Curva de gran radio 4" a 6" incluye tuberia 3m </t>
  </si>
  <si>
    <t>Cerramiento rigido en madera para excavaciones h&lt;1,50m</t>
  </si>
  <si>
    <t>lb</t>
  </si>
  <si>
    <t>Corte de pavimento flexible con cortadora autopropulsada</t>
  </si>
  <si>
    <t>Demolición de concreto reforzado</t>
  </si>
  <si>
    <t>Demolición de muro en ladrillo macizo</t>
  </si>
  <si>
    <t>Concreto Impermeabilizado 20.7 MPa. (Grava de 1") Acelerado 7 dias</t>
  </si>
  <si>
    <t xml:space="preserve">Concreto Impermeabilizado 28MPa. para tapa (Grava de 1")  </t>
  </si>
  <si>
    <t>Base en Afirmado su+ri+com</t>
  </si>
  <si>
    <t xml:space="preserve">Excavacion en sub base h=0-2 manual </t>
  </si>
  <si>
    <t>Base en arena de pega e=0.10m</t>
  </si>
  <si>
    <t xml:space="preserve">Lleno compactado con material de sitio </t>
  </si>
  <si>
    <t xml:space="preserve">Sub Base granular tipo MOPT/INVIAS con vibrocompactador </t>
  </si>
  <si>
    <t xml:space="preserve">Base granular tipo MOPT/INVIAS convibrocompactador </t>
  </si>
  <si>
    <t>Pavimento asfaltico caliente 70/90 con imprimación e=7cm Tipo Invias</t>
  </si>
  <si>
    <t>Sikadur 42 anclaje para pernos o acero</t>
  </si>
  <si>
    <t>Acarreo Horizontal (% M.O.)</t>
  </si>
  <si>
    <t>Herramienta Menor (% M.O.)</t>
  </si>
  <si>
    <t>Pedestal en concreto 24 Mpa. (1.40X.20X.40h) para transformador</t>
  </si>
  <si>
    <t>Plaqueta prefabricada en C24MPa. (2,90x.20x.20h) incluye el refuerzo</t>
  </si>
  <si>
    <t>día</t>
  </si>
  <si>
    <t xml:space="preserve">Rejilla angulo &lt; 11/4"x3/16" y platina de 1"x1/4" incluye transporte e instalacion </t>
  </si>
  <si>
    <t>Construcción de cubierta provisional para protección, incluye bordillo provisional en mortero para manejo de aguas sobre losa y adoquin</t>
  </si>
  <si>
    <t>Plastico</t>
  </si>
  <si>
    <t>Caja de paso para puesta a tierra 0,25 x 0,25 x 0,25 incluye tuberia L=2m</t>
  </si>
  <si>
    <t>Membrana cubierta Sikaplan R12 CO (1,0 x 1,6)</t>
  </si>
  <si>
    <t>Foso dren de (1,0x1,0x0,85h) lleno con triturado. Muros en concreto de 17,2 Mpa, e=0,1m con malla electrosoldada cal 6mm (ojo 0,15x0,15)</t>
  </si>
  <si>
    <t xml:space="preserve">Canalizacion Tubo conduit  de 1/2" a 3/4" incluye curva </t>
  </si>
  <si>
    <t xml:space="preserve">Tubo Conduit PVC de 1/2" a 3/4" </t>
  </si>
  <si>
    <t xml:space="preserve">Curva Conduit PVC de 1/2" a 3/4" </t>
  </si>
  <si>
    <t>Mortero 1:3 (producción) *</t>
  </si>
  <si>
    <t xml:space="preserve"> % </t>
  </si>
  <si>
    <t xml:space="preserve">Canalizacion Tubo conduit  de 1" a 2" incluye curva </t>
  </si>
  <si>
    <t xml:space="preserve">Curva Conduit PVC de 1" a 2" </t>
  </si>
  <si>
    <t xml:space="preserve">Curva de gran radio  PVC de 4" a 6" </t>
  </si>
  <si>
    <t>CAMARA C20.7MPa. IMPERM. 0.80X0.80X0.80h)  para redes de baja tensión (tapa en concreto)</t>
  </si>
  <si>
    <t xml:space="preserve">CAMARA C20.7MPa. IMPERM. 0.80X0.80X0.80h)  para redes de baja tensión (tapa en COLD ROLLED) </t>
  </si>
  <si>
    <t xml:space="preserve">Afloramiento pvc de 4" a 6" L= 3m incluye curva de gran radio en anden </t>
  </si>
  <si>
    <t>Afloramiento pvc de 4" a 6" L= 3m incluye curva de gran radio en tierra</t>
  </si>
  <si>
    <t xml:space="preserve">Retiro de plaquetas en cámara de transformador incluye corte de concreto, retiro y reinstalación de adoquines. </t>
  </si>
  <si>
    <t xml:space="preserve"> Desmonte de postes manual incluye anclajes de soporte en dados de concreto</t>
  </si>
  <si>
    <t xml:space="preserve">Resane con mortero para fachada y pintura </t>
  </si>
  <si>
    <t>Morterno de nivelacion para anden</t>
  </si>
  <si>
    <t>Ducto pvc de 1/2" a 3/4"  L=10m + curva en andén</t>
  </si>
  <si>
    <t>Ducto pvc de 1" a 2" L=10m + curva en andén</t>
  </si>
  <si>
    <t xml:space="preserve">Perforación Microtunel (4 Vías x 6") + Ducto TDP 6" incluye la tubería </t>
  </si>
  <si>
    <t xml:space="preserve">Caja de inspección de 40 x 40 para reparación domiciliarias alcantarillado </t>
  </si>
  <si>
    <t>Reparación de domiciliaria alcantarillado tuberia D ≤ 6" desarrollo 2m (incluye accesorios)</t>
  </si>
  <si>
    <t>(UND - UND)</t>
  </si>
  <si>
    <t xml:space="preserve"> (UND - UND)</t>
  </si>
  <si>
    <t>Retiro de plaquetas en cámara de transformador incluye corte de concreto, retiro y reinstalación de adoquines.</t>
  </si>
  <si>
    <t>Reparacion acometida  domiciliaria acueducto tuberia D ≤4" (incluye accesorios)</t>
  </si>
  <si>
    <t>ACERO</t>
  </si>
  <si>
    <t>LONG VARILLA</t>
  </si>
  <si>
    <t>CANT VARILLAS</t>
  </si>
  <si>
    <t>LADOS</t>
  </si>
  <si>
    <t>PESO</t>
  </si>
  <si>
    <t>TOTAL</t>
  </si>
  <si>
    <t>D</t>
  </si>
  <si>
    <t>TAPA</t>
  </si>
  <si>
    <t>PARRILLA</t>
  </si>
  <si>
    <t>1/2"</t>
  </si>
  <si>
    <t>DIAGONALES</t>
  </si>
  <si>
    <t>CONCRETO</t>
  </si>
  <si>
    <t>H</t>
  </si>
  <si>
    <t>ANCHO</t>
  </si>
  <si>
    <t>LARGO</t>
  </si>
  <si>
    <t xml:space="preserve">vol </t>
  </si>
  <si>
    <t>muros</t>
  </si>
  <si>
    <t>tapa</t>
  </si>
  <si>
    <t>DESCUENTO  DE COL ROLLED</t>
  </si>
  <si>
    <t xml:space="preserve">DESCUENTO TAPA COL </t>
  </si>
  <si>
    <t>MUROS</t>
  </si>
  <si>
    <t>V</t>
  </si>
  <si>
    <t>3/8"</t>
  </si>
  <si>
    <t>3/4"</t>
  </si>
  <si>
    <t>REFUERZO TAPA</t>
  </si>
  <si>
    <t>5/8"</t>
  </si>
  <si>
    <t xml:space="preserve"> CAMARA C20.7MPa. IMPERM. + C28MPa (1.50X1.50X1.50h) vehicular</t>
  </si>
  <si>
    <t xml:space="preserve">CAMARA C20.7MPa. IMPERM. 1.50X1.50X1.50h) peatonal </t>
  </si>
  <si>
    <t>De cárcamo a cárcamo (4 Vías x 4") + Ducto TDP 4" incluye la tubería. Calle 25</t>
  </si>
  <si>
    <t>pavimento rigido</t>
  </si>
  <si>
    <t>Transporte</t>
  </si>
  <si>
    <t>Retiro y reinstalacion de  rejillas en platinas  metalicos para camara transformador</t>
  </si>
  <si>
    <t>Demolicion de muro de carcamo o camara, retiro de sobrantes y emboquillado en concreto para perforacion microtunel</t>
  </si>
  <si>
    <t>Acero Fy = 60.000 psi d&gt;1/4" Co+Fi+Ar</t>
  </si>
  <si>
    <t>ACERO CARCAMO PEATONAL</t>
  </si>
  <si>
    <t>PISO</t>
  </si>
  <si>
    <t>LONG</t>
  </si>
  <si>
    <t>TRANSV</t>
  </si>
  <si>
    <t>CONCRETO CARCAMO PEATONAL</t>
  </si>
  <si>
    <t>CONCRETO trafo</t>
  </si>
  <si>
    <t>Descripcion</t>
  </si>
  <si>
    <t>cantidad</t>
  </si>
  <si>
    <t>long</t>
  </si>
  <si>
    <t>ancho</t>
  </si>
  <si>
    <t>alto</t>
  </si>
  <si>
    <t>Muros long</t>
  </si>
  <si>
    <t>Muros transv.</t>
  </si>
  <si>
    <t>Muros transv. Descuento de carcamos</t>
  </si>
  <si>
    <t>Piso</t>
  </si>
  <si>
    <t>Piso descuento foso dren</t>
  </si>
  <si>
    <t>vigas aereas  transv</t>
  </si>
  <si>
    <t>vigas aereas long</t>
  </si>
  <si>
    <t>vigas apoyadas transver</t>
  </si>
  <si>
    <t>vigas apoyadas long</t>
  </si>
  <si>
    <t>Losa (tapa)</t>
  </si>
  <si>
    <t>Descuento tapa cold rol</t>
  </si>
  <si>
    <t>ACERO TRAFO</t>
  </si>
  <si>
    <t>CANT VAR</t>
  </si>
  <si>
    <t>CARAS</t>
  </si>
  <si>
    <t>LONG TOTAL</t>
  </si>
  <si>
    <t>MUROS LONG.</t>
  </si>
  <si>
    <t>acero vert.</t>
  </si>
  <si>
    <t>acero horiz.</t>
  </si>
  <si>
    <t>MUROS TRANSV.</t>
  </si>
  <si>
    <t>LARGAS PISO</t>
  </si>
  <si>
    <t xml:space="preserve">PISO </t>
  </si>
  <si>
    <t>VIGAS</t>
  </si>
  <si>
    <t>APOYADA</t>
  </si>
  <si>
    <t>acero long</t>
  </si>
  <si>
    <t>flejes (al tercio)</t>
  </si>
  <si>
    <t>flejes (tercio medio)</t>
  </si>
  <si>
    <t>AÉREA</t>
  </si>
  <si>
    <t>LOSA</t>
  </si>
  <si>
    <t>PARRILLA SUPERIOR</t>
  </si>
  <si>
    <t>TRANS</t>
  </si>
  <si>
    <t>PARRILLA INFERIOR</t>
  </si>
  <si>
    <t xml:space="preserve">Puente peatonal en madera con pasamanos + señalización a=0,70m </t>
  </si>
  <si>
    <t>Formaleta para vaciado de muro, zapatas, vigas, placa en concreto y protección de equipos (cable seco)</t>
  </si>
  <si>
    <t>Total peso</t>
  </si>
  <si>
    <t>UND - ML</t>
  </si>
  <si>
    <t>CÁMARA DE TRANSFORMADOR C24 MPa. IMPERMEABILIZADO (3.60 m X  2.50 X 2.40 m Altura)</t>
  </si>
  <si>
    <t>UND - GLOB</t>
  </si>
  <si>
    <t xml:space="preserve">Construccion  Cámara de Transformador en C24MPa. Imperm. (3,60x2,50x2.4h). Concreto acelerado a 7 dias </t>
  </si>
  <si>
    <t xml:space="preserve">ANÁLISIS   DEL   AU </t>
  </si>
  <si>
    <t>PLAZO EN MESES</t>
  </si>
  <si>
    <t>COSTOS DIRECTO DE OBRA</t>
  </si>
  <si>
    <t>1.</t>
  </si>
  <si>
    <t>PERSONAL PROFESIONAL</t>
  </si>
  <si>
    <t>PROFESIONAL</t>
  </si>
  <si>
    <t>SALARIO</t>
  </si>
  <si>
    <t>UTILIZACION MES</t>
  </si>
  <si>
    <t>No. MESES</t>
  </si>
  <si>
    <t>V/r PARCIAL</t>
  </si>
  <si>
    <t xml:space="preserve">Director de Obra      </t>
  </si>
  <si>
    <t xml:space="preserve">Residente de Obra  </t>
  </si>
  <si>
    <t>Asesor Seguridad y salud en el trabajo</t>
  </si>
  <si>
    <t xml:space="preserve">Asesor Ambiental     </t>
  </si>
  <si>
    <t>Asesor de gestión de calidad</t>
  </si>
  <si>
    <t>Asesor gestión social</t>
  </si>
  <si>
    <t>Comision topografica</t>
  </si>
  <si>
    <t>Tecnico electricista</t>
  </si>
  <si>
    <t>Inspector de Obra  (Maestro)</t>
  </si>
  <si>
    <t>Subtotal Personal</t>
  </si>
  <si>
    <t>Factor Prestacional</t>
  </si>
  <si>
    <t>Total Personal</t>
  </si>
  <si>
    <t>2.</t>
  </si>
  <si>
    <t>PERSONAL DE APOYO</t>
  </si>
  <si>
    <t>Secretaria</t>
  </si>
  <si>
    <t>Almacenista</t>
  </si>
  <si>
    <t>Auxiliar contable</t>
  </si>
  <si>
    <t xml:space="preserve">Vigilancia </t>
  </si>
  <si>
    <t>Mensajero</t>
  </si>
  <si>
    <t>3.</t>
  </si>
  <si>
    <t>COSTOS DE LEGALIZACION</t>
  </si>
  <si>
    <t>POLIZAS</t>
  </si>
  <si>
    <t>Subtotal costos de legalizacion</t>
  </si>
  <si>
    <t>4.</t>
  </si>
  <si>
    <t>IMPUESTOS</t>
  </si>
  <si>
    <t>IMPUESTO DE TIMBRE</t>
  </si>
  <si>
    <t>ESTAMPILLAS</t>
  </si>
  <si>
    <t>Estampilla Prohospitales</t>
  </si>
  <si>
    <t>Industria y Comercio</t>
  </si>
  <si>
    <t>4 por mil (Anticipo)</t>
  </si>
  <si>
    <t>CONTRIBUCION ESPECIAL</t>
  </si>
  <si>
    <t>RETENCION EN LA FUENTE</t>
  </si>
  <si>
    <t>FIC</t>
  </si>
  <si>
    <t>Subtotal Impuestos</t>
  </si>
  <si>
    <t>5.</t>
  </si>
  <si>
    <t>COSTOS DIRECTOS REEMBOLSABLES</t>
  </si>
  <si>
    <t>Equipos de computo</t>
  </si>
  <si>
    <t>Comunicaciones y Telefonos</t>
  </si>
  <si>
    <t>Gastos operacionales de oficina</t>
  </si>
  <si>
    <t>Papeleria, Fotocopias, Fax y Fotografias.</t>
  </si>
  <si>
    <t>Seguridad Industrial</t>
  </si>
  <si>
    <t>Vigilancia</t>
  </si>
  <si>
    <t>Subtotal Costos Directos</t>
  </si>
  <si>
    <t>Factor de Administracion</t>
  </si>
  <si>
    <t>Total Costos Directos</t>
  </si>
  <si>
    <t>OTROS COSTOS</t>
  </si>
  <si>
    <t xml:space="preserve">Campamente o bodega </t>
  </si>
  <si>
    <t>Valla informativa</t>
  </si>
  <si>
    <t>Subtotal Otros</t>
  </si>
  <si>
    <t>VALOR TOTAL ADMINISTRACION (1+2+3+4+5+6)</t>
  </si>
  <si>
    <t>VALOR UTILIDAD</t>
  </si>
  <si>
    <t>REDONDEO GENERAL</t>
  </si>
  <si>
    <t>Representante Legal Perforar Ingenieria s.a.s.</t>
  </si>
  <si>
    <t>Alquiler de campamento</t>
  </si>
  <si>
    <t>mes</t>
  </si>
  <si>
    <t>Asesor en salud ocupacional (dedicacion 100%)</t>
  </si>
  <si>
    <t xml:space="preserve">Vigilante </t>
  </si>
  <si>
    <t xml:space="preserve">Asesor electricista  (dedicacion 20%) contruccion de camara de transfomador </t>
  </si>
  <si>
    <t>ÍTEM 3. BANCO DE DUCTOS (4 vías x 4") SOBRE VÍA EN ASFALTO (UND - ML)</t>
  </si>
  <si>
    <t xml:space="preserve">2 señales cada 20m, </t>
  </si>
  <si>
    <t xml:space="preserve">Demolicion pavimento flexible e&gt;0,07m </t>
  </si>
  <si>
    <t>analizar si es necesario excavar mas del ancho que ocupan los tubos</t>
  </si>
  <si>
    <t>Cinta de señalización</t>
  </si>
  <si>
    <t>10cmx0,65cm + espacios a los lados</t>
  </si>
  <si>
    <t>espesor de pavimento???</t>
  </si>
  <si>
    <t>Pintura</t>
  </si>
  <si>
    <t>ÍTEM 3. BANCO DE DUCTOS (4 vías x 4") PAVIMENTO RIGIDO (UND - ML)</t>
  </si>
  <si>
    <t xml:space="preserve">Banco de ductos (4 vías x 4") pavimento rigido </t>
  </si>
  <si>
    <t>Pavimento rigido  28 MPA acelerado 3 dias - MR= 4.1 kg/cm2</t>
  </si>
  <si>
    <t>Entibado en madera para microtunel</t>
  </si>
  <si>
    <t>TAPA DE CARCAMO EN C20.7 Mpa.(ANDÉN)  (1.0X 1.20 m Profundidad)</t>
  </si>
  <si>
    <t>Paletero</t>
  </si>
  <si>
    <t>ITEM 6. Paletero (UND - DIA)</t>
  </si>
  <si>
    <t>Alquiler de equipos de radiotelefonía</t>
  </si>
  <si>
    <t>Auxiliares de Tránsito</t>
  </si>
  <si>
    <t>PENDIENTES CENTRO</t>
  </si>
  <si>
    <t>RENDIMIENTO</t>
  </si>
  <si>
    <t>M3-Km</t>
  </si>
  <si>
    <t>Cinta de señalización cal 7</t>
  </si>
  <si>
    <t>Trituradode rio (Planta trirurados)</t>
  </si>
  <si>
    <t>DESMONTE DE ADOQUINES</t>
  </si>
  <si>
    <t>REINSTALACION DE ADOQUIN PEATONAL EXISTENTE INCLUYE ARENA</t>
  </si>
  <si>
    <t>MES</t>
  </si>
  <si>
    <t>ÍTEM 1</t>
  </si>
  <si>
    <t>Tubo PVC 3" tipo TDP por 6.00m</t>
  </si>
  <si>
    <t>Perforacion manual microtunel</t>
  </si>
  <si>
    <t>Triturado  de cantera</t>
  </si>
  <si>
    <t xml:space="preserve">Triturado de rio </t>
  </si>
  <si>
    <t>UND- M2</t>
  </si>
  <si>
    <t>Cuadrilla G 1 Of +1 Ay (jornal + prestaciones)</t>
  </si>
  <si>
    <t>Cuadrilla G 1 Of + 1 Ay (jornal + prestaciones)</t>
  </si>
  <si>
    <t>Instalacion Tapa de seguridad (D=50cm Lámina de acero cold-Rolled e=3/8")</t>
  </si>
  <si>
    <t>formaleta</t>
  </si>
  <si>
    <t xml:space="preserve"> </t>
  </si>
  <si>
    <t>acero de refuerzo</t>
  </si>
  <si>
    <t>Lamina de icopor para separacion</t>
  </si>
  <si>
    <t xml:space="preserve">    kg</t>
  </si>
  <si>
    <t xml:space="preserve">UND </t>
  </si>
  <si>
    <t>Cuadrilla A 1 Of + 2 Ay (jornal + prestaciones)</t>
  </si>
  <si>
    <t>Suministro y regado de arena</t>
  </si>
  <si>
    <t xml:space="preserve">Sub Base granular (Afirmmdi) vibrocompactador </t>
  </si>
  <si>
    <t>Concreto de 20,7 Mpa (producción</t>
  </si>
  <si>
    <t>Cuadrilla E 1 Of + 2 Ay (jornal + prestaciones</t>
  </si>
  <si>
    <t>Anden en concreto de 20,7 Mpa (3.000 psi) e = 0,10 m. (Terminado escobiado y acolillado).</t>
  </si>
  <si>
    <t>CAMARA C20.7MPa. IMPERM. 0.80X0.80X0.80h)  para redes de baja tensión (tapa en COLD ROLLED) EN ADOQUIEN</t>
  </si>
  <si>
    <t>ÍTEM 3</t>
  </si>
  <si>
    <t>ÍTEM 4</t>
  </si>
  <si>
    <t>ÍTEM 5</t>
  </si>
  <si>
    <t>ÍTEM 6</t>
  </si>
  <si>
    <t>ÍTEM 7</t>
  </si>
  <si>
    <t>ÍTEM 8</t>
  </si>
  <si>
    <t>ÍTEM 9</t>
  </si>
  <si>
    <t>ÍTEM 10</t>
  </si>
  <si>
    <t>ÍTEM 11</t>
  </si>
  <si>
    <t>ÍTEM 12</t>
  </si>
  <si>
    <t>ÍTEM 13</t>
  </si>
  <si>
    <t>ÍTEM 14</t>
  </si>
  <si>
    <t>ÍTEM 15</t>
  </si>
  <si>
    <t>ÍTEM 16</t>
  </si>
  <si>
    <t>ÍTEM 17</t>
  </si>
  <si>
    <t>Afloramiento pvc de 4" a 6" L= 6m incluye curva de gran radio en anden</t>
  </si>
  <si>
    <t>Ducto pvc de 1/2" a 3/4"  L=2,00 m a carcamo + curva en andén</t>
  </si>
  <si>
    <t xml:space="preserve">Canalizacion Tubo conduit  de 1"  incluye curva </t>
  </si>
  <si>
    <t xml:space="preserve">Canalizacion Tubo conduit  de 2" incluye curva </t>
  </si>
  <si>
    <t>ÍTEM 18</t>
  </si>
  <si>
    <t>Ducto pvc de 1"  L= de 1 a 10 m a camara de inspeccion o camara de barraje + curva en andén</t>
  </si>
  <si>
    <t>Ducto pvc de 11/2" y  2" L= de 1 a 10m a camara de inspeccion o camara de barraje + curva en andén</t>
  </si>
  <si>
    <t>ÍTEM 19</t>
  </si>
  <si>
    <t>Ducto pvc de 1"  L= de 1 a 2 m a carcamo + curva en andén</t>
  </si>
  <si>
    <t>Ing. electricista</t>
  </si>
  <si>
    <t>ESTAMPILLAS PRODEPORTE</t>
  </si>
  <si>
    <t>ESTAMPILLAS PROHOSPITAL</t>
  </si>
  <si>
    <t>Carcamo peatonal C 20.7MPa. Impermeabilizado ANDEN</t>
  </si>
  <si>
    <t>Carcamo peatonal C 20.7MPa. Impermeabilizado ADOQUIN</t>
  </si>
  <si>
    <t>Limpieza de cárcamo</t>
  </si>
  <si>
    <t>Asesor electricista  (dedicacion 20%)</t>
  </si>
  <si>
    <t>ML</t>
  </si>
  <si>
    <t>UND - M</t>
  </si>
  <si>
    <t>Demolicion de muro para direccionamiento de  carcamo o camara, retiro de sobrantes.</t>
  </si>
  <si>
    <t>Demolicion de muro para direccionamiento de  carcamo o camara, retiro de sobrantes .</t>
  </si>
  <si>
    <t>Caja de inspeccion 0,80*0,80*1 m Anden</t>
  </si>
  <si>
    <t>CAJA DE INSPECCION C20.7MPa. IMPERM. 0.80X0.80X0.80h)  para redes de baja tensión (tapa en COLD ROLLED)</t>
  </si>
  <si>
    <t>Retiro de rejilla en platinas metalicos</t>
  </si>
  <si>
    <t>SOLDADOR + Ayudante (jornal + prestaciones)</t>
  </si>
  <si>
    <t>Retiro de sobrantes a sitio indicado por empresa</t>
  </si>
  <si>
    <t>Concreto  20.7 MPa. (Grava de 1")</t>
  </si>
  <si>
    <t>PLACA SUPERIOR PARA SELLADO DE REJILLA  EN C20.7 Mpa.(ANDÉN)  (1.0X1.0X0,15m Profundidad) incluye refuerzo.</t>
  </si>
  <si>
    <t xml:space="preserve">Tecnico y/o tecnologo electricista operativo con conocimiento en redes de media y alta tension (dedicacion 100%) </t>
  </si>
  <si>
    <t xml:space="preserve">Limpieza de cárcamo </t>
  </si>
  <si>
    <t>(ML-UND)</t>
  </si>
  <si>
    <t>tecnologo y/o inspector de obra</t>
  </si>
  <si>
    <t>Placa e Instalación de tapa de seguridad en lámina de acero cold-rolled e=3/8" CARCAMO EXISTENTE - PLACA ANDEN</t>
  </si>
  <si>
    <t>Placa e Instalación de tapa de seguridad en lámina de acero cold-rolled e=3/8" CARCAMO EXISTENTE - PLACA ADOQUIN</t>
  </si>
  <si>
    <t>ÍTEM 3. CÁRCAMO EN CONCRETO 20.7MPa. Impermeabilizado - VEHÍCULAR (UND - ML)</t>
  </si>
  <si>
    <t>Cerramiento provisional con señalizador y doble cinta para paso peatonal</t>
  </si>
  <si>
    <t>Base en Afirmado e=0.15 m su+ri+com</t>
  </si>
  <si>
    <t>Malla Electrosoldada calibre 6mm (Ojo 15x15) losa y piso</t>
  </si>
  <si>
    <t xml:space="preserve">Concreto Impermeabilizado 20.7 MPa. (Grava de 1") Piso y muros </t>
  </si>
  <si>
    <t>CÁRCAMO EN CONCRETO 20.7MPa. Impermeabilizado - VEHÍCULAR (UND - ML)</t>
  </si>
  <si>
    <t xml:space="preserve">Perforación Microtunel (2 Vías x 4") + Ducto TDP 4" incluye la tubería. </t>
  </si>
  <si>
    <t>Perforación Microtunel (4 Vías x 4") + Ducto TDP 4" incluye la tubería.</t>
  </si>
  <si>
    <t>Placa e Instalación de tapa de seguridad en lámina de acero cold-rolled e=3/8" CARCAMO NUEVO - PLACA ADOQUIN</t>
  </si>
  <si>
    <t>Placa e Instalación de tapa de seguridad en lámina de acero cold-rolled e=3/8" CARCAMO NUEVO - PLACA ANDEN</t>
  </si>
  <si>
    <t>PLACA SUPERIOR DE CARCAMO EN C20.7 Mpa.(ANDÉN)  (1.0X 1.20 m Profundidad) incluye refuerzo.</t>
  </si>
  <si>
    <t>ÍTEM 14. CAMARA DE BARRAJE EN C20.7MPa. IMPERM. SOBRE PISO EN ANDEN Y ADOQUIN (UND - UND)</t>
  </si>
  <si>
    <t>3.10 m x  1.60 x 1.90 m Profundidad</t>
  </si>
  <si>
    <t>Puente peatonal en madera con pasamanos + señalización a=0,70m L= 2m</t>
  </si>
  <si>
    <t>Tapa en Lámina de alfajor 1/4"(.50x2.00) + angulo 11/2"x1/4" + instal.</t>
  </si>
  <si>
    <t>CONCRETO CAJA BARRAJE</t>
  </si>
  <si>
    <t>vigas amarre  transv</t>
  </si>
  <si>
    <t>vigas amarre long</t>
  </si>
  <si>
    <t xml:space="preserve">Vigas de cimentacion  trans </t>
  </si>
  <si>
    <t>Vigas de cimentacion  long</t>
  </si>
  <si>
    <t xml:space="preserve">Descuento lamina </t>
  </si>
  <si>
    <t>ACERO CAMARA DE BARRAJE</t>
  </si>
  <si>
    <t>total peso</t>
  </si>
  <si>
    <t xml:space="preserve">Muros lonitudinales </t>
  </si>
  <si>
    <t xml:space="preserve">Acero horizontal </t>
  </si>
  <si>
    <t>Acero vertical</t>
  </si>
  <si>
    <t>Muros transversales</t>
  </si>
  <si>
    <t>viga de cimentacion</t>
  </si>
  <si>
    <t>Acero longitudinal</t>
  </si>
  <si>
    <t>Acero transversal</t>
  </si>
  <si>
    <t>viga de amarre</t>
  </si>
  <si>
    <t>Tapa</t>
  </si>
  <si>
    <t>Longitudinal</t>
  </si>
  <si>
    <t>Transversal</t>
  </si>
  <si>
    <t>diamante</t>
  </si>
  <si>
    <t>Menos tapas</t>
  </si>
  <si>
    <t>CAMARA DE BARRAJE EN C20.7MPa. IMPERM. SOBRE PISO EN ANDEN Y ADOQUIN (UND - UND)</t>
  </si>
  <si>
    <t>ÍTEM 2. CAMARA C20.7MPa. IMPERM. 1.50X1.50X1.50h) peatonal (UND - UND)</t>
  </si>
  <si>
    <t xml:space="preserve">Instalación de tapa de seguridad </t>
  </si>
  <si>
    <t xml:space="preserve">ACERO REFUERZO CAMARA 1,5 * 1,5 *1,5  </t>
  </si>
  <si>
    <t>CONCRETO camra paso</t>
  </si>
  <si>
    <t>CAMARA C20.7MPa. IMPERM. 1.50X1.50X1.50h) peatonal (UND - UND)</t>
  </si>
  <si>
    <t xml:space="preserve">ÍTEM 18. ADECUACION CAMARA DE TRANSFORMADOR C24 MPa. IMPERMEAB. Y CAMARA CAJA DE MANIOBRA </t>
  </si>
  <si>
    <t>(5,5 m X  2.00 X 2.40 m Altura)</t>
  </si>
  <si>
    <t>4*</t>
  </si>
  <si>
    <t>7*</t>
  </si>
  <si>
    <t>Demolición de losa en concreto e≈22cm</t>
  </si>
  <si>
    <t>8*</t>
  </si>
  <si>
    <t>Demolición de muro en concreto reforzado e≈30cm</t>
  </si>
  <si>
    <t>9*</t>
  </si>
  <si>
    <t xml:space="preserve">Demolición de piso en concreto reforzado e≈20cm </t>
  </si>
  <si>
    <t>Puente peatonal en madera con pasamanos y señalización (2.80x1.35)</t>
  </si>
  <si>
    <t>Base en afirmado e=0.15 m su+ri</t>
  </si>
  <si>
    <t>Viga de Amarre (Apoyada) C21 MPa (.20x.25) no incluye refuerzo</t>
  </si>
  <si>
    <t>Viga Aérea C21 MPa (.20x.25) no incluye refuerzo</t>
  </si>
  <si>
    <t>Concreto Impermeabilizado 20,7 MPa. acelerado a 14 días (Muros, zapata y piso)</t>
  </si>
  <si>
    <t>Losa en Concreto Impermeabilizado 24 MPa. acelerado a 14 días e=15cm no incluye refuerzo</t>
  </si>
  <si>
    <t>Rejilla de Cárcamo (1.70x.60) &lt; 11/4"x3/16" y platina de 1"x1/4"+instalación</t>
  </si>
  <si>
    <t>Rejilla de Cárcamo (1,73x1.30) &lt; 11/4"x3/16" y platina de 1"x1/4"+instalación</t>
  </si>
  <si>
    <t>Plaqueta prefabricada en C24MPa. (2,75x.30x.20h) incluye el refuerzo</t>
  </si>
  <si>
    <t>Malla electrosoldada cal 6mm (ojo 15x15) para foso dren</t>
  </si>
  <si>
    <t xml:space="preserve">Escalera de gato D=3/4" L=1.12m Anclaje con epóxico </t>
  </si>
  <si>
    <t>Formaleta para vaciado de muros, placa y protección de equipos (cable seco)</t>
  </si>
  <si>
    <t>27*</t>
  </si>
  <si>
    <t>Restitucion de adoquín peatonal. Incluido transporte</t>
  </si>
  <si>
    <t>28*</t>
  </si>
  <si>
    <t>Reinstalación de adoquín peatonal existente (1,0x.70) incluye arena</t>
  </si>
  <si>
    <t>Caja de paso para puesta a tierra 0,25 x 0,25 x 0,25</t>
  </si>
  <si>
    <t>Foso dren con malla electrosoldada de 0,4 x 0,4 x 0,6 lleno con triturado. Muros de  0,07m de espesor</t>
  </si>
  <si>
    <t xml:space="preserve">ADECUACION CAMARA DE TRANSFORMADOR C24 MPa. IMPERMEAB. Y CAMARA CAJA DE MANIOBRA </t>
  </si>
  <si>
    <t>ÍTEM 20. CÁMARA PARA CAJA DE MANIOBRA</t>
  </si>
  <si>
    <t>(3.5 x 2.50 x 2.10 m Altura)</t>
  </si>
  <si>
    <t>Cerramiento Fijo con madera + tela de cerramiento (ml)</t>
  </si>
  <si>
    <t>Puente peatonal en madera con pasamanos y señalización (2.8x1.35)</t>
  </si>
  <si>
    <t>5*</t>
  </si>
  <si>
    <t xml:space="preserve">Desmonte de adoquines </t>
  </si>
  <si>
    <t>Demolición de losa en concreto e=22cm</t>
  </si>
  <si>
    <t xml:space="preserve">Demolición de muro en concreto reforzado e=30cm </t>
  </si>
  <si>
    <t>10*</t>
  </si>
  <si>
    <t>Demolición de piso en concreto e=17cm</t>
  </si>
  <si>
    <t>Losa en Concreto Impermeabilizado 20,7 MPa. acelerado a 14 días e=15cm no incluye refuerzo</t>
  </si>
  <si>
    <t>Instalación de Tapa de seguridad (D=50cm Lámina de acero Cold-Rolled e=3/8")</t>
  </si>
  <si>
    <t>Soporte en concreto para Caja de Maniobra. Incluye marco en angulo de 11/2" x 3/8" + 4 pernos de 0,15 soldados</t>
  </si>
  <si>
    <t>Acero Fy=414 Mpa. d&gt;1/4" Co+Fi+Ar (V=28.3X13.5+L=26)  (Muros, zapata, piso y vigas)</t>
  </si>
  <si>
    <t>Escalera de gato D=3/4" L=1.12m +A nclaje + Epóxico cada 35 cm.</t>
  </si>
  <si>
    <t xml:space="preserve">Formaleta </t>
  </si>
  <si>
    <t>26*</t>
  </si>
  <si>
    <t>Restitución de adoquín peatonal incluido transporte</t>
  </si>
  <si>
    <t>Construcción de cubierta provisional para protección, incluye bordillo provisional en mortero para manejo de aguas sobre andén</t>
  </si>
  <si>
    <t>Caja de paso para puesta a tierra (0,25 x 0,25 x 0,25)</t>
  </si>
  <si>
    <t>Foso dren de (0,6x0,6x0,6) lleno con triturado. Muros en concreto de 17,2 Mpa, e=0,1m con malla electrosoldada cal 6mm (ojo 0,15x0,15)</t>
  </si>
  <si>
    <t>CONCRETO CAJA MANIOBRA</t>
  </si>
  <si>
    <t>ACERO CAJA MANIOBRA</t>
  </si>
  <si>
    <t>LARGAS</t>
  </si>
  <si>
    <t>CÁMARA PARA CAJA DE MANIOBRA</t>
  </si>
  <si>
    <t>Ducto pvc de 1/2" a 3/4"  L=1 a 10 m a camara de inspeccion o barraje + curva en andén</t>
  </si>
  <si>
    <t>Ducto pvc de 11/2" y  2" L= de 1 a 10m a camara de inspeccion o camara de barraje + curva en adoquin</t>
  </si>
  <si>
    <t>Ducto pvc de 11/2" y  2" L= de 1 a 2 m a carcamo + curva en andén</t>
  </si>
  <si>
    <t>ÍTEM 20</t>
  </si>
  <si>
    <t>ÍTEM 21</t>
  </si>
  <si>
    <t>ÍTEM 22</t>
  </si>
  <si>
    <t>ÍTEM 23</t>
  </si>
  <si>
    <t>ÍTEM 24</t>
  </si>
  <si>
    <t>ÍTEM 3. BANCO DE DUCTOS (4 vías x 4") sobre anden (UND - ML)</t>
  </si>
  <si>
    <t>BANCO DE DUCTOS (4 vías x 4") sobre anden (UND - ML)</t>
  </si>
  <si>
    <t>Cuadrilla E 1 Oficial + 1 Ayudante (jornal + prestaciones)</t>
  </si>
  <si>
    <t>Herramienta Menor</t>
  </si>
  <si>
    <t>DESMONTE Y REINSTALACION DE CAJA DE MEDIDOR DE ACCUEDUCTO.</t>
  </si>
  <si>
    <t>UND- UN</t>
  </si>
  <si>
    <t>Almacenamiento y trasiego de cajas de medidor</t>
  </si>
  <si>
    <t>Herramienta (% mano obra)</t>
  </si>
  <si>
    <t>UND- M3</t>
  </si>
  <si>
    <t>Concreto Impermeabilizado 20.7 MPa. (Grava de 1") Para muro complenetario en la caja de trafo cll 14 con cra 6</t>
  </si>
  <si>
    <t>ÍTEM 25</t>
  </si>
  <si>
    <t>ÍTEM 26</t>
  </si>
  <si>
    <t>ÍTEM 27</t>
  </si>
  <si>
    <t>ÍTEM 28</t>
  </si>
  <si>
    <t>ÍTEM 29</t>
  </si>
  <si>
    <t>Demolicion de muro para direccionamiento de  carcamo o camara, retiro de sobrantes y emboquillado en concreto para perforacion microtunel</t>
  </si>
  <si>
    <t>Demolicion de muro para direccionamiento de  carcamo o camara, retiro de sobrantes y emboquillado en concreto.</t>
  </si>
  <si>
    <t>UND - M3</t>
  </si>
  <si>
    <t>Retiro, suministro e instalacion de  rejillas en platinas  metalicos para camara transformador</t>
  </si>
  <si>
    <t>ÍTEM 33</t>
  </si>
  <si>
    <t>ÍTEM 34</t>
  </si>
  <si>
    <t>GLB</t>
  </si>
  <si>
    <t>Plaquetas en C24 MPa. (2,90x.20x.20h) incluye el refuerzo</t>
  </si>
  <si>
    <t xml:space="preserve">Construccion  Cámara de Transformador en C24MPa. Imperm. (4,70 x 2,40 x 2.3). Concreto acelerado a 7 dias </t>
  </si>
  <si>
    <t>Construcción de cubierta provisional para protección con estructura (M2)</t>
  </si>
  <si>
    <t>Demolicion placa concreto reforzado</t>
  </si>
  <si>
    <t>Demolicion de muro ladrillo macizo,</t>
  </si>
  <si>
    <t>Excavación en material común seco de 2 - 4 m manual</t>
  </si>
  <si>
    <t>Concreto Impermeabilizado C20,7 Mpa para placa de cimentacion, foso dren.No incluye refuerzo.</t>
  </si>
  <si>
    <t>Suministro e instalacion Tuberia pvc conduit TDP para conexión Caja de paso puesta a tierra.</t>
  </si>
  <si>
    <t>Pedestal en concreto 24 Mpa. (1.20X.20X.30h) para transformador. Incluye refuerzo.</t>
  </si>
  <si>
    <t>Formaleta muros, vigas, placa.</t>
  </si>
  <si>
    <t>Concreto Impermeabilizado 20.7 MPa. (Grava de 1") Para muros. No incluye refuerzo.</t>
  </si>
  <si>
    <t>Concreto para Construccion vigas perimetrales concreto 20,7 Mpa. Seccion (0,20 * 0,25 m.) caja transformador. No incluye refuerzo.</t>
  </si>
  <si>
    <t>Concreto 20,7 Mpa para Placa superior (tapa) caja transformador. No incluye refuerzo.</t>
  </si>
  <si>
    <t>suministro e instalacion Acero Fy = 60.000 psi d&gt;1/4" Co+Fi+Ar</t>
  </si>
  <si>
    <t>Suministro e instalacion de Escalera de gato D=3/4" L=1.1m+Anclaje+Epoxico (Diseño entregado por la supervisión).</t>
  </si>
  <si>
    <t>Instalación de tapa de seguridad en lámina de acero cold-rolled e=3/8". Suministrada por EEP.</t>
  </si>
  <si>
    <t>Suministro e instalacion Rejilla angulo &lt; 11/4"x3/16" y platina de 1"x1/4" incluye transporte. (Diseño entregado por la supervisión).</t>
  </si>
  <si>
    <t>Suministro e instalacion Triturado diametro 1" para dren (1,00 * 1,00 *0,90 m). Incluye transporte.</t>
  </si>
  <si>
    <t>Retiro de formaleta existente</t>
  </si>
  <si>
    <t>Camara de inspeccion 0,80*0,80*1 m Adoquin</t>
  </si>
  <si>
    <t>CAMARA C20.7MPa. IMPERM. 0.80X0.80X0.80h)  para redes de baja tensión (tapa en COLD ROLLED) EN ADOQUIN</t>
  </si>
  <si>
    <t>Afloramiento pvc de 3"L= de 1 a 2 m incluye curva de gran radio en anden</t>
  </si>
  <si>
    <t>Afloramiento pvc de 4" L= 3m incluye curva de gran radio en anden</t>
  </si>
  <si>
    <t xml:space="preserve">Curva de gran radio 3" incluye tuberia 3m </t>
  </si>
  <si>
    <t>Afloramiento pvc de 4"  L= 6m incluye curva de gran radio en anden</t>
  </si>
  <si>
    <t>ANALISIS DE PRECIOS UNITARIOS          PROYECTO 72 Y OBRAS PENDIENTES</t>
  </si>
  <si>
    <t>ÍTEM 35</t>
  </si>
  <si>
    <t>ÍTEM 36</t>
  </si>
  <si>
    <t>ÍTEM 37</t>
  </si>
  <si>
    <t>ÍTEM 38</t>
  </si>
  <si>
    <t>ÍTEM 39</t>
  </si>
  <si>
    <t>ÍTEM 40</t>
  </si>
  <si>
    <t>ÍTEM 41</t>
  </si>
  <si>
    <t>ÍTEM 42</t>
  </si>
  <si>
    <t xml:space="preserve">Inspector de Obra </t>
  </si>
  <si>
    <t>almacenista + prestaciones</t>
  </si>
  <si>
    <t>vigilancia + prestaciones</t>
  </si>
  <si>
    <t>maestro + prestaciones</t>
  </si>
  <si>
    <t>Reparacon de domiciliaria de alcantarillado 6", desarrollo 2,00m., incluye accesorios.</t>
  </si>
  <si>
    <t>Reparacon de domiciliaria de alcantarillado 4", desarrollo 2,00m., incluye accesorios.</t>
  </si>
  <si>
    <t>Reparacon de domiciliaria de acueducto 1", desarrollo 2,00m., incluye accesorios.</t>
  </si>
  <si>
    <t>Caja de inspeccion de 0,40 x 0,40 m., para reparacion de omiciliaria de alcantarillado.</t>
  </si>
  <si>
    <t xml:space="preserve">Acsesorio a 6" incluye </t>
  </si>
  <si>
    <t>Tubo PVC 6" sanitario 6.00m</t>
  </si>
  <si>
    <t xml:space="preserve">Acsesorio a 4" incluye </t>
  </si>
  <si>
    <t>Tubo PVC 4" sanitario 6.00m</t>
  </si>
  <si>
    <t xml:space="preserve">Acsesorio a 1" incluye </t>
  </si>
  <si>
    <t>Tubo PVC 1" sanitario 6.00m</t>
  </si>
  <si>
    <t>Caja de inspección de 40 x 40 para reparación domiciliarias alcantarillado (UND- UND)</t>
  </si>
  <si>
    <r>
      <t>M</t>
    </r>
    <r>
      <rPr>
        <vertAlign val="superscript"/>
        <sz val="12"/>
        <rFont val="Arial"/>
        <family val="2"/>
      </rPr>
      <t>3</t>
    </r>
  </si>
  <si>
    <t>ÍTEM 32</t>
  </si>
  <si>
    <t>ÍTEM 43</t>
  </si>
  <si>
    <t>ÍTEM 44</t>
  </si>
  <si>
    <t>ÍTEM 45</t>
  </si>
  <si>
    <t xml:space="preserve">OBRA CIVIL PARA LA REMODELACION DEL CIRCUITO 3CE (ETAPA 2), CALLE 14 E A 18 E ENTRE CARRERAS 5 A 7” </t>
  </si>
  <si>
    <t>OBRA CIVIL PARA LA REMODELACION DEL CIRCUITO 3CE (ETAPA 2), CALLE 11 A 14 E ENTRE CARRERAS 5 A 7” Y PUNTOS CERCANOS EN EL CENTRO DE LA CIUDAD.</t>
  </si>
  <si>
    <t>Representante Legal</t>
  </si>
  <si>
    <t xml:space="preserve">Representante Legal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</si>
</sst>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0.0"/>
    <numFmt numFmtId="166" formatCode="_(* #,##0.00_);_(* \(#,##0.00\);_(* &quot;-&quot;??_);_(@_)"/>
    <numFmt numFmtId="167" formatCode="_-* #,##0.00\ _€_-;\-* #,##0.00\ _€_-;_-* &quot;-&quot;??\ _€_-;_-@_-"/>
    <numFmt numFmtId="168" formatCode="#,##0_ ;\-#,##0\ "/>
    <numFmt numFmtId="169" formatCode="_-* #,##0.000\ _€_-;\-* #,##0.000\ _€_-;_-* &quot;-&quot;??\ _€_-;_-@_-"/>
    <numFmt numFmtId="170" formatCode="#,##0.000\ _€;\-#,##0.000\ _€"/>
    <numFmt numFmtId="171" formatCode="_(&quot;$&quot;\ * #,##0.00_);_(&quot;$&quot;\ * \(#,##0.00\);_(&quot;$&quot;\ * &quot;-&quot;??_);_(@_)"/>
    <numFmt numFmtId="172" formatCode="_(* #,##0_);_(* \(#,##0\);_(* &quot;-&quot;??_);_(@_)"/>
    <numFmt numFmtId="173" formatCode="&quot;$&quot;\ #,##0"/>
    <numFmt numFmtId="174" formatCode="_-&quot;$&quot;* #,##0.00_-;\-&quot;$&quot;* #,##0.00_-;_-&quot;$&quot;* &quot;-&quot;_-;_-@_-"/>
    <numFmt numFmtId="175" formatCode="#,##0.0000\ _€;\-#,##0.0000\ _€"/>
    <numFmt numFmtId="176" formatCode="0.000"/>
    <numFmt numFmtId="177" formatCode="#,##0.0;\-#,##0.0"/>
    <numFmt numFmtId="178" formatCode="#,##0.0000"/>
    <numFmt numFmtId="179" formatCode="#,##0.0000;\-#,##0.0000"/>
    <numFmt numFmtId="180" formatCode="_ [$$-240A]\ * #,##0_ ;_ [$$-240A]\ * \-#,##0_ ;_ [$$-240A]\ * &quot;-&quot;_ ;_ @_ "/>
    <numFmt numFmtId="181" formatCode="_ * #,##0.00_ ;_ * \-#,##0.00_ ;_ * &quot;-&quot;??_ ;_ @_ "/>
    <numFmt numFmtId="182" formatCode="_([$$-2C0A]* #,##0_);_([$$-2C0A]* \(#,##0\);_([$$-2C0A]* &quot;-&quot;??_);_(@_)"/>
    <numFmt numFmtId="183" formatCode="_([$$-2C0A]* #,##0.00_);_([$$-2C0A]* \(#,##0.00\);_([$$-2C0A]* &quot;-&quot;??_);_(@_)"/>
    <numFmt numFmtId="184" formatCode="_-[$$-240A]\ * #,##0.00_-;\-[$$-240A]\ * #,##0.00_-;_-[$$-240A]\ * &quot;-&quot;??_-;_-@_-"/>
    <numFmt numFmtId="185" formatCode="#,##0.000"/>
    <numFmt numFmtId="186" formatCode="0.0%"/>
    <numFmt numFmtId="187" formatCode="_(&quot;$&quot;\ * #,##0_);_(&quot;$&quot;\ * \(#,##0\);_(&quot;$&quot;\ * &quot;-&quot;_);_(@_)"/>
    <numFmt numFmtId="188" formatCode="_-[$$-2C0A]\ * #,##0.00_-;\-[$$-2C0A]\ * #,##0.00_-;_-[$$-2C0A]\ * &quot;-&quot;??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charset val="134"/>
    </font>
    <font>
      <sz val="10"/>
      <name val="Courier"/>
      <family val="3"/>
    </font>
    <font>
      <sz val="9"/>
      <color theme="1"/>
      <name val="Arial"/>
      <family val="2"/>
    </font>
    <font>
      <b/>
      <sz val="8"/>
      <name val="Arial"/>
      <family val="2"/>
    </font>
    <font>
      <sz val="12"/>
      <color indexed="8"/>
      <name val="Arial"/>
      <family val="2"/>
    </font>
    <font>
      <sz val="9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name val="Arial"/>
      <family val="2"/>
    </font>
    <font>
      <b/>
      <sz val="12"/>
      <name val="Tahoma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i/>
      <sz val="1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36"/>
      <color theme="1"/>
      <name val="Arial"/>
      <family val="2"/>
    </font>
    <font>
      <sz val="8"/>
      <color indexed="8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i/>
      <sz val="11"/>
      <color theme="1"/>
      <name val="Verdana"/>
      <family val="2"/>
    </font>
    <font>
      <vertAlign val="superscript"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4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8" fillId="0" borderId="0" applyFont="0" applyFill="0" applyBorder="0" applyAlignment="0" applyProtection="0">
      <alignment vertical="center"/>
    </xf>
    <xf numFmtId="39" fontId="9" fillId="0" borderId="0"/>
    <xf numFmtId="0" fontId="10" fillId="0" borderId="0">
      <alignment vertical="center"/>
    </xf>
    <xf numFmtId="0" fontId="5" fillId="0" borderId="0"/>
    <xf numFmtId="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171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4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71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5" fillId="0" borderId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81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7">
    <xf numFmtId="0" fontId="0" fillId="0" borderId="0" xfId="0"/>
    <xf numFmtId="0" fontId="0" fillId="0" borderId="0" xfId="0"/>
    <xf numFmtId="165" fontId="4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44" fontId="3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3" fillId="0" borderId="32" xfId="1" applyFont="1" applyFill="1" applyBorder="1" applyAlignment="1">
      <alignment horizontal="center" vertical="center"/>
    </xf>
    <xf numFmtId="0" fontId="4" fillId="0" borderId="4" xfId="13" applyFont="1" applyBorder="1" applyAlignment="1">
      <alignment vertical="center" wrapText="1"/>
    </xf>
    <xf numFmtId="0" fontId="4" fillId="0" borderId="4" xfId="0" applyFont="1" applyBorder="1"/>
    <xf numFmtId="0" fontId="5" fillId="0" borderId="0" xfId="18"/>
    <xf numFmtId="166" fontId="5" fillId="0" borderId="0" xfId="17" applyFont="1"/>
    <xf numFmtId="0" fontId="14" fillId="0" borderId="16" xfId="18" applyFont="1" applyBorder="1"/>
    <xf numFmtId="0" fontId="14" fillId="0" borderId="24" xfId="18" applyFont="1" applyBorder="1"/>
    <xf numFmtId="0" fontId="14" fillId="0" borderId="19" xfId="18" applyFont="1" applyBorder="1"/>
    <xf numFmtId="0" fontId="14" fillId="0" borderId="23" xfId="18" applyFont="1" applyBorder="1"/>
    <xf numFmtId="1" fontId="16" fillId="8" borderId="4" xfId="18" applyNumberFormat="1" applyFont="1" applyFill="1" applyBorder="1" applyAlignment="1">
      <alignment horizontal="center" vertical="center" wrapText="1"/>
    </xf>
    <xf numFmtId="0" fontId="16" fillId="8" borderId="4" xfId="18" applyFont="1" applyFill="1" applyBorder="1" applyAlignment="1">
      <alignment horizontal="center" vertical="center" wrapText="1"/>
    </xf>
    <xf numFmtId="0" fontId="16" fillId="7" borderId="4" xfId="18" applyFont="1" applyFill="1" applyBorder="1" applyAlignment="1">
      <alignment vertical="center" wrapText="1"/>
    </xf>
    <xf numFmtId="0" fontId="13" fillId="0" borderId="17" xfId="18" applyFont="1" applyBorder="1" applyAlignment="1">
      <alignment vertical="center"/>
    </xf>
    <xf numFmtId="0" fontId="13" fillId="0" borderId="0" xfId="18" applyFont="1" applyAlignment="1">
      <alignment vertical="center"/>
    </xf>
    <xf numFmtId="166" fontId="13" fillId="0" borderId="0" xfId="17" applyFont="1" applyBorder="1" applyAlignment="1">
      <alignment vertical="center"/>
    </xf>
    <xf numFmtId="166" fontId="13" fillId="0" borderId="22" xfId="17" applyFont="1" applyBorder="1" applyAlignment="1">
      <alignment vertical="center"/>
    </xf>
    <xf numFmtId="0" fontId="16" fillId="8" borderId="28" xfId="18" applyFont="1" applyFill="1" applyBorder="1" applyAlignment="1">
      <alignment horizontal="center" vertical="center"/>
    </xf>
    <xf numFmtId="166" fontId="16" fillId="8" borderId="28" xfId="17" applyFont="1" applyFill="1" applyBorder="1" applyAlignment="1">
      <alignment horizontal="center" vertical="center" wrapText="1"/>
    </xf>
    <xf numFmtId="166" fontId="16" fillId="0" borderId="29" xfId="17" applyFont="1" applyBorder="1" applyAlignment="1">
      <alignment horizontal="center" vertical="center"/>
    </xf>
    <xf numFmtId="0" fontId="13" fillId="0" borderId="29" xfId="18" applyFont="1" applyBorder="1" applyAlignment="1">
      <alignment vertical="center" wrapText="1"/>
    </xf>
    <xf numFmtId="166" fontId="10" fillId="0" borderId="4" xfId="17" applyFont="1" applyBorder="1" applyAlignment="1">
      <alignment horizontal="center"/>
    </xf>
    <xf numFmtId="166" fontId="13" fillId="0" borderId="29" xfId="17" applyFont="1" applyBorder="1" applyAlignment="1">
      <alignment horizontal="center" vertical="center"/>
    </xf>
    <xf numFmtId="0" fontId="13" fillId="7" borderId="4" xfId="18" applyFont="1" applyFill="1" applyBorder="1" applyAlignment="1">
      <alignment vertical="center"/>
    </xf>
    <xf numFmtId="166" fontId="13" fillId="7" borderId="29" xfId="17" applyFont="1" applyFill="1" applyBorder="1" applyAlignment="1">
      <alignment vertical="center"/>
    </xf>
    <xf numFmtId="0" fontId="13" fillId="7" borderId="27" xfId="18" applyFont="1" applyFill="1" applyBorder="1" applyAlignment="1">
      <alignment vertical="center"/>
    </xf>
    <xf numFmtId="166" fontId="13" fillId="7" borderId="28" xfId="17" applyFont="1" applyFill="1" applyBorder="1" applyAlignment="1">
      <alignment vertical="center"/>
    </xf>
    <xf numFmtId="166" fontId="6" fillId="0" borderId="43" xfId="21" applyFont="1" applyFill="1" applyBorder="1" applyAlignment="1">
      <alignment wrapText="1"/>
    </xf>
    <xf numFmtId="166" fontId="6" fillId="0" borderId="44" xfId="21" applyFont="1" applyFill="1" applyBorder="1" applyAlignment="1">
      <alignment wrapText="1"/>
    </xf>
    <xf numFmtId="173" fontId="6" fillId="0" borderId="49" xfId="20" applyNumberFormat="1" applyFont="1" applyBorder="1" applyAlignment="1">
      <alignment vertical="center" wrapText="1"/>
    </xf>
    <xf numFmtId="173" fontId="6" fillId="0" borderId="49" xfId="20" applyNumberFormat="1" applyFont="1" applyBorder="1" applyAlignment="1">
      <alignment wrapText="1"/>
    </xf>
    <xf numFmtId="0" fontId="6" fillId="0" borderId="0" xfId="20" applyFont="1" applyAlignment="1">
      <alignment wrapText="1"/>
    </xf>
    <xf numFmtId="0" fontId="2" fillId="0" borderId="0" xfId="20" applyFont="1" applyAlignment="1">
      <alignment horizontal="center" wrapText="1"/>
    </xf>
    <xf numFmtId="0" fontId="18" fillId="0" borderId="31" xfId="18" applyFont="1" applyBorder="1" applyAlignment="1">
      <alignment horizontal="center" vertical="center" wrapText="1"/>
    </xf>
    <xf numFmtId="0" fontId="6" fillId="0" borderId="48" xfId="20" applyFont="1" applyBorder="1" applyAlignment="1">
      <alignment vertical="center" wrapText="1"/>
    </xf>
    <xf numFmtId="0" fontId="2" fillId="0" borderId="31" xfId="20" applyFont="1" applyBorder="1" applyAlignment="1">
      <alignment vertical="center" wrapText="1"/>
    </xf>
    <xf numFmtId="0" fontId="2" fillId="0" borderId="4" xfId="20" applyFont="1" applyBorder="1" applyAlignment="1">
      <alignment horizontal="center" vertical="center" wrapText="1"/>
    </xf>
    <xf numFmtId="166" fontId="6" fillId="0" borderId="4" xfId="20" applyNumberFormat="1" applyFont="1" applyBorder="1" applyAlignment="1">
      <alignment vertical="center" wrapText="1"/>
    </xf>
    <xf numFmtId="174" fontId="2" fillId="0" borderId="32" xfId="22" applyNumberFormat="1" applyFont="1" applyBorder="1" applyAlignment="1">
      <alignment horizontal="center" vertical="center" wrapText="1"/>
    </xf>
    <xf numFmtId="0" fontId="6" fillId="0" borderId="50" xfId="20" applyFont="1" applyBorder="1" applyAlignment="1">
      <alignment vertical="center" wrapText="1"/>
    </xf>
    <xf numFmtId="0" fontId="2" fillId="0" borderId="55" xfId="20" applyFont="1" applyBorder="1" applyAlignment="1">
      <alignment vertical="center" wrapText="1"/>
    </xf>
    <xf numFmtId="0" fontId="2" fillId="0" borderId="53" xfId="20" applyFont="1" applyBorder="1" applyAlignment="1">
      <alignment vertical="center" wrapText="1"/>
    </xf>
    <xf numFmtId="174" fontId="2" fillId="0" borderId="54" xfId="22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53" xfId="0" applyFont="1" applyFill="1" applyBorder="1" applyAlignment="1">
      <alignment horizontal="center" vertical="center"/>
    </xf>
    <xf numFmtId="44" fontId="3" fillId="0" borderId="53" xfId="1" applyFont="1" applyFill="1" applyBorder="1" applyAlignment="1">
      <alignment horizontal="center" vertical="center"/>
    </xf>
    <xf numFmtId="44" fontId="3" fillId="0" borderId="54" xfId="1" applyFont="1" applyFill="1" applyBorder="1" applyAlignment="1">
      <alignment horizontal="center" vertical="center"/>
    </xf>
    <xf numFmtId="165" fontId="4" fillId="0" borderId="53" xfId="0" applyNumberFormat="1" applyFont="1" applyFill="1" applyBorder="1" applyAlignment="1">
      <alignment horizontal="center" vertical="center"/>
    </xf>
    <xf numFmtId="0" fontId="6" fillId="0" borderId="0" xfId="0" applyFont="1"/>
    <xf numFmtId="4" fontId="6" fillId="0" borderId="0" xfId="1" applyNumberFormat="1" applyFont="1" applyFill="1"/>
    <xf numFmtId="0" fontId="6" fillId="0" borderId="31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4" xfId="16" applyFont="1" applyFill="1" applyBorder="1"/>
    <xf numFmtId="4" fontId="6" fillId="0" borderId="32" xfId="1" applyNumberFormat="1" applyFont="1" applyFill="1" applyBorder="1" applyAlignment="1">
      <alignment vertical="center"/>
    </xf>
    <xf numFmtId="4" fontId="6" fillId="0" borderId="32" xfId="1" applyNumberFormat="1" applyFont="1" applyFill="1" applyBorder="1"/>
    <xf numFmtId="0" fontId="6" fillId="0" borderId="4" xfId="0" applyFont="1" applyBorder="1" applyAlignment="1">
      <alignment vertical="center" wrapText="1"/>
    </xf>
    <xf numFmtId="2" fontId="6" fillId="0" borderId="4" xfId="0" applyNumberFormat="1" applyFont="1" applyBorder="1" applyAlignment="1">
      <alignment horizontal="center" vertical="center"/>
    </xf>
    <xf numFmtId="0" fontId="6" fillId="0" borderId="4" xfId="13" applyFont="1" applyBorder="1" applyAlignment="1">
      <alignment horizontal="center"/>
    </xf>
    <xf numFmtId="0" fontId="6" fillId="0" borderId="55" xfId="0" applyFont="1" applyBorder="1" applyAlignment="1">
      <alignment horizontal="center" vertical="center"/>
    </xf>
    <xf numFmtId="0" fontId="6" fillId="0" borderId="53" xfId="0" applyFont="1" applyBorder="1" applyAlignment="1">
      <alignment vertical="center" wrapText="1"/>
    </xf>
    <xf numFmtId="0" fontId="6" fillId="0" borderId="53" xfId="0" applyFont="1" applyBorder="1" applyAlignment="1">
      <alignment horizontal="center" vertical="center"/>
    </xf>
    <xf numFmtId="4" fontId="6" fillId="0" borderId="54" xfId="1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0" fontId="2" fillId="0" borderId="5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" fontId="2" fillId="0" borderId="56" xfId="1" applyNumberFormat="1" applyFont="1" applyFill="1" applyBorder="1" applyAlignment="1">
      <alignment horizontal="center" vertical="center"/>
    </xf>
    <xf numFmtId="0" fontId="6" fillId="0" borderId="4" xfId="13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166" fontId="10" fillId="0" borderId="4" xfId="17" applyFont="1" applyFill="1" applyBorder="1" applyAlignment="1">
      <alignment horizontal="center"/>
    </xf>
    <xf numFmtId="166" fontId="13" fillId="0" borderId="29" xfId="17" applyFont="1" applyFill="1" applyBorder="1" applyAlignment="1">
      <alignment horizontal="center" vertical="center"/>
    </xf>
    <xf numFmtId="166" fontId="10" fillId="0" borderId="4" xfId="17" applyFont="1" applyFill="1" applyBorder="1" applyAlignment="1">
      <alignment horizontal="center" vertical="center"/>
    </xf>
    <xf numFmtId="4" fontId="6" fillId="0" borderId="0" xfId="1" applyNumberFormat="1" applyFont="1" applyFill="1" applyBorder="1"/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/>
    <xf numFmtId="0" fontId="6" fillId="0" borderId="4" xfId="0" applyFont="1" applyBorder="1"/>
    <xf numFmtId="0" fontId="2" fillId="0" borderId="4" xfId="13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4" fontId="6" fillId="0" borderId="4" xfId="16" applyFont="1" applyBorder="1"/>
    <xf numFmtId="171" fontId="7" fillId="0" borderId="0" xfId="14" applyFont="1" applyBorder="1"/>
    <xf numFmtId="0" fontId="6" fillId="0" borderId="4" xfId="13" applyFont="1" applyBorder="1"/>
    <xf numFmtId="164" fontId="2" fillId="6" borderId="35" xfId="19" applyFont="1" applyFill="1" applyBorder="1"/>
    <xf numFmtId="2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vertical="center"/>
    </xf>
    <xf numFmtId="4" fontId="6" fillId="0" borderId="0" xfId="0" applyNumberFormat="1" applyFont="1" applyAlignment="1">
      <alignment horizontal="center"/>
    </xf>
    <xf numFmtId="4" fontId="6" fillId="0" borderId="0" xfId="16" applyFont="1" applyFill="1" applyBorder="1"/>
    <xf numFmtId="0" fontId="6" fillId="0" borderId="0" xfId="13" applyFont="1"/>
    <xf numFmtId="0" fontId="6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7" xfId="13" applyFont="1" applyBorder="1" applyAlignment="1">
      <alignment horizontal="center"/>
    </xf>
    <xf numFmtId="0" fontId="2" fillId="0" borderId="29" xfId="13" applyFont="1" applyBorder="1" applyAlignment="1">
      <alignment horizontal="center"/>
    </xf>
    <xf numFmtId="0" fontId="2" fillId="0" borderId="4" xfId="13" applyFont="1" applyBorder="1" applyAlignment="1">
      <alignment horizontal="center"/>
    </xf>
    <xf numFmtId="0" fontId="2" fillId="0" borderId="4" xfId="13" applyFont="1" applyBorder="1" applyAlignment="1">
      <alignment horizontal="center" vertical="center" wrapText="1"/>
    </xf>
    <xf numFmtId="2" fontId="6" fillId="0" borderId="4" xfId="13" applyNumberFormat="1" applyFont="1" applyBorder="1"/>
    <xf numFmtId="0" fontId="6" fillId="0" borderId="4" xfId="13" applyFont="1" applyBorder="1" applyAlignment="1">
      <alignment horizontal="right"/>
    </xf>
    <xf numFmtId="0" fontId="2" fillId="0" borderId="28" xfId="13" applyFont="1" applyBorder="1" applyAlignment="1">
      <alignment horizontal="center"/>
    </xf>
    <xf numFmtId="0" fontId="2" fillId="0" borderId="0" xfId="13" applyFont="1" applyAlignment="1">
      <alignment horizontal="center"/>
    </xf>
    <xf numFmtId="0" fontId="25" fillId="0" borderId="0" xfId="13" applyFont="1"/>
    <xf numFmtId="2" fontId="6" fillId="0" borderId="4" xfId="13" applyNumberFormat="1" applyFont="1" applyBorder="1" applyAlignment="1">
      <alignment horizontal="center"/>
    </xf>
    <xf numFmtId="0" fontId="2" fillId="0" borderId="19" xfId="13" applyFont="1" applyBorder="1" applyAlignment="1">
      <alignment horizontal="center" vertical="center"/>
    </xf>
    <xf numFmtId="4" fontId="2" fillId="0" borderId="0" xfId="1" applyNumberFormat="1" applyFont="1" applyFill="1" applyBorder="1" applyAlignment="1">
      <alignment vertical="center"/>
    </xf>
    <xf numFmtId="172" fontId="12" fillId="0" borderId="0" xfId="17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1" fillId="0" borderId="0" xfId="0" applyFont="1" applyFill="1" applyBorder="1"/>
    <xf numFmtId="0" fontId="6" fillId="0" borderId="0" xfId="5" applyFont="1" applyFill="1" applyBorder="1" applyAlignment="1">
      <alignment horizontal="center" vertical="center" wrapText="1"/>
    </xf>
    <xf numFmtId="171" fontId="7" fillId="0" borderId="0" xfId="14" applyFont="1" applyFill="1" applyBorder="1"/>
    <xf numFmtId="0" fontId="2" fillId="0" borderId="27" xfId="13" applyFont="1" applyBorder="1" applyAlignment="1">
      <alignment horizontal="center" vertical="center"/>
    </xf>
    <xf numFmtId="0" fontId="2" fillId="0" borderId="28" xfId="13" applyFont="1" applyBorder="1" applyAlignment="1">
      <alignment horizontal="center" vertical="center"/>
    </xf>
    <xf numFmtId="0" fontId="2" fillId="0" borderId="29" xfId="13" applyFont="1" applyBorder="1" applyAlignment="1">
      <alignment horizontal="center" vertical="center"/>
    </xf>
    <xf numFmtId="44" fontId="6" fillId="0" borderId="0" xfId="1" applyFont="1" applyFill="1"/>
    <xf numFmtId="0" fontId="6" fillId="0" borderId="4" xfId="13" applyFont="1" applyBorder="1" applyAlignment="1">
      <alignment horizontal="right" vertical="center"/>
    </xf>
    <xf numFmtId="2" fontId="6" fillId="0" borderId="28" xfId="13" applyNumberFormat="1" applyFont="1" applyBorder="1"/>
    <xf numFmtId="0" fontId="6" fillId="0" borderId="29" xfId="13" applyFont="1" applyBorder="1" applyAlignment="1">
      <alignment horizontal="right"/>
    </xf>
    <xf numFmtId="16" fontId="6" fillId="0" borderId="4" xfId="13" applyNumberFormat="1" applyFont="1" applyBorder="1" applyAlignment="1">
      <alignment horizontal="center"/>
    </xf>
    <xf numFmtId="0" fontId="25" fillId="0" borderId="0" xfId="0" applyFont="1" applyAlignment="1">
      <alignment wrapText="1"/>
    </xf>
    <xf numFmtId="44" fontId="6" fillId="0" borderId="0" xfId="1" applyFont="1" applyFill="1" applyBorder="1"/>
    <xf numFmtId="0" fontId="2" fillId="0" borderId="27" xfId="13" applyFont="1" applyBorder="1" applyAlignment="1">
      <alignment horizontal="center" wrapText="1"/>
    </xf>
    <xf numFmtId="0" fontId="2" fillId="0" borderId="28" xfId="13" applyFont="1" applyBorder="1" applyAlignment="1">
      <alignment horizontal="center" wrapText="1"/>
    </xf>
    <xf numFmtId="0" fontId="2" fillId="0" borderId="29" xfId="13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4" fontId="6" fillId="0" borderId="0" xfId="1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" fillId="0" borderId="41" xfId="20" applyFont="1" applyBorder="1" applyAlignment="1">
      <alignment vertical="center" wrapText="1"/>
    </xf>
    <xf numFmtId="0" fontId="2" fillId="0" borderId="38" xfId="20" applyFont="1" applyBorder="1" applyAlignment="1">
      <alignment vertical="center" wrapText="1"/>
    </xf>
    <xf numFmtId="0" fontId="6" fillId="0" borderId="39" xfId="20" applyFont="1" applyBorder="1" applyAlignment="1">
      <alignment horizontal="center" vertical="center" wrapText="1"/>
    </xf>
    <xf numFmtId="0" fontId="6" fillId="0" borderId="39" xfId="20" applyFont="1" applyBorder="1" applyAlignment="1">
      <alignment vertical="center" wrapText="1"/>
    </xf>
    <xf numFmtId="174" fontId="2" fillId="0" borderId="40" xfId="22" applyNumberFormat="1" applyFont="1" applyBorder="1" applyAlignment="1">
      <alignment horizontal="center" vertical="center" wrapText="1"/>
    </xf>
    <xf numFmtId="166" fontId="16" fillId="7" borderId="27" xfId="17" applyFont="1" applyFill="1" applyBorder="1" applyAlignment="1">
      <alignment horizontal="center" vertical="center"/>
    </xf>
    <xf numFmtId="0" fontId="16" fillId="7" borderId="4" xfId="18" applyFont="1" applyFill="1" applyBorder="1" applyAlignment="1">
      <alignment horizontal="center" vertical="center"/>
    </xf>
    <xf numFmtId="166" fontId="16" fillId="7" borderId="4" xfId="17" applyFont="1" applyFill="1" applyBorder="1" applyAlignment="1">
      <alignment horizontal="center" vertical="center"/>
    </xf>
    <xf numFmtId="166" fontId="16" fillId="7" borderId="4" xfId="17" applyFont="1" applyFill="1" applyBorder="1" applyAlignment="1">
      <alignment horizontal="center" vertical="center" wrapText="1"/>
    </xf>
    <xf numFmtId="0" fontId="16" fillId="7" borderId="4" xfId="18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/>
    </xf>
    <xf numFmtId="0" fontId="6" fillId="0" borderId="0" xfId="18" quotePrefix="1" applyFont="1" applyAlignment="1">
      <alignment horizontal="center" vertical="center"/>
    </xf>
    <xf numFmtId="0" fontId="6" fillId="0" borderId="0" xfId="18" applyFont="1" applyAlignment="1">
      <alignment horizontal="left" vertical="center" wrapText="1"/>
    </xf>
    <xf numFmtId="0" fontId="6" fillId="0" borderId="0" xfId="18" applyFont="1" applyAlignment="1">
      <alignment horizontal="center" vertical="center"/>
    </xf>
    <xf numFmtId="3" fontId="6" fillId="0" borderId="0" xfId="18" applyNumberFormat="1" applyFont="1" applyAlignment="1">
      <alignment vertical="center"/>
    </xf>
    <xf numFmtId="2" fontId="6" fillId="0" borderId="4" xfId="13" applyNumberFormat="1" applyFont="1" applyBorder="1" applyAlignment="1">
      <alignment horizontal="center" vertical="center"/>
    </xf>
    <xf numFmtId="4" fontId="6" fillId="0" borderId="4" xfId="16" applyFont="1" applyFill="1" applyBorder="1" applyAlignment="1">
      <alignment horizontal="center" vertical="center"/>
    </xf>
    <xf numFmtId="4" fontId="6" fillId="0" borderId="27" xfId="16" applyFont="1" applyFill="1" applyBorder="1" applyAlignment="1">
      <alignment horizontal="center" vertical="center"/>
    </xf>
    <xf numFmtId="4" fontId="6" fillId="0" borderId="29" xfId="16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/>
    </xf>
    <xf numFmtId="2" fontId="2" fillId="0" borderId="4" xfId="13" applyNumberFormat="1" applyFont="1" applyBorder="1" applyAlignment="1">
      <alignment horizontal="center"/>
    </xf>
    <xf numFmtId="2" fontId="6" fillId="0" borderId="29" xfId="0" applyNumberFormat="1" applyFont="1" applyBorder="1" applyAlignment="1">
      <alignment horizontal="center"/>
    </xf>
    <xf numFmtId="165" fontId="6" fillId="0" borderId="4" xfId="13" applyNumberFormat="1" applyFont="1" applyBorder="1" applyAlignment="1">
      <alignment horizontal="center" vertical="center"/>
    </xf>
    <xf numFmtId="176" fontId="6" fillId="0" borderId="4" xfId="13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14" xfId="13" applyNumberFormat="1" applyFont="1" applyBorder="1" applyAlignment="1">
      <alignment horizontal="center" vertical="center"/>
    </xf>
    <xf numFmtId="4" fontId="2" fillId="0" borderId="4" xfId="13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21" fillId="0" borderId="0" xfId="0" applyFont="1" applyFill="1"/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2" fillId="0" borderId="57" xfId="20" applyFont="1" applyBorder="1" applyAlignment="1">
      <alignment horizontal="center" vertical="center"/>
    </xf>
    <xf numFmtId="0" fontId="2" fillId="0" borderId="5" xfId="20" applyFont="1" applyBorder="1" applyAlignment="1">
      <alignment horizontal="center" vertical="center" wrapText="1"/>
    </xf>
    <xf numFmtId="0" fontId="2" fillId="0" borderId="56" xfId="20" applyFont="1" applyBorder="1" applyAlignment="1">
      <alignment horizontal="center" vertical="center" wrapText="1"/>
    </xf>
    <xf numFmtId="0" fontId="18" fillId="0" borderId="36" xfId="18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/>
    </xf>
    <xf numFmtId="165" fontId="4" fillId="0" borderId="14" xfId="0" applyNumberFormat="1" applyFont="1" applyFill="1" applyBorder="1" applyAlignment="1">
      <alignment horizontal="center" vertical="center"/>
    </xf>
    <xf numFmtId="44" fontId="3" fillId="0" borderId="14" xfId="1" applyFont="1" applyFill="1" applyBorder="1" applyAlignment="1">
      <alignment horizontal="center" vertical="center"/>
    </xf>
    <xf numFmtId="44" fontId="3" fillId="0" borderId="37" xfId="1" applyFont="1" applyFill="1" applyBorder="1" applyAlignment="1">
      <alignment horizontal="center" vertical="center"/>
    </xf>
    <xf numFmtId="0" fontId="16" fillId="0" borderId="16" xfId="18" applyFont="1" applyBorder="1" applyAlignment="1">
      <alignment vertical="center"/>
    </xf>
    <xf numFmtId="0" fontId="16" fillId="0" borderId="24" xfId="18" applyFont="1" applyBorder="1" applyAlignment="1">
      <alignment vertical="center"/>
    </xf>
    <xf numFmtId="0" fontId="16" fillId="0" borderId="25" xfId="18" applyFont="1" applyBorder="1" applyAlignment="1">
      <alignment vertical="center"/>
    </xf>
    <xf numFmtId="0" fontId="16" fillId="0" borderId="17" xfId="18" applyFont="1" applyBorder="1" applyAlignment="1">
      <alignment vertical="center"/>
    </xf>
    <xf numFmtId="0" fontId="16" fillId="0" borderId="0" xfId="18" applyFont="1" applyAlignment="1">
      <alignment vertical="center"/>
    </xf>
    <xf numFmtId="0" fontId="16" fillId="0" borderId="22" xfId="18" applyFont="1" applyBorder="1" applyAlignment="1">
      <alignment vertical="center"/>
    </xf>
    <xf numFmtId="0" fontId="16" fillId="0" borderId="19" xfId="18" applyFont="1" applyBorder="1" applyAlignment="1">
      <alignment vertical="center"/>
    </xf>
    <xf numFmtId="0" fontId="16" fillId="0" borderId="23" xfId="18" applyFont="1" applyBorder="1" applyAlignment="1">
      <alignment vertical="center"/>
    </xf>
    <xf numFmtId="0" fontId="16" fillId="0" borderId="26" xfId="18" applyFont="1" applyBorder="1" applyAlignment="1">
      <alignment vertical="center"/>
    </xf>
    <xf numFmtId="0" fontId="16" fillId="0" borderId="29" xfId="18" applyFont="1" applyBorder="1" applyAlignment="1">
      <alignment vertical="center" wrapText="1"/>
    </xf>
    <xf numFmtId="9" fontId="2" fillId="4" borderId="4" xfId="20" applyNumberFormat="1" applyFont="1" applyFill="1" applyBorder="1" applyAlignment="1">
      <alignment horizontal="center" vertical="center" wrapText="1"/>
    </xf>
    <xf numFmtId="9" fontId="2" fillId="4" borderId="4" xfId="15" applyFont="1" applyFill="1" applyBorder="1" applyAlignment="1">
      <alignment horizontal="center" vertical="center" wrapText="1"/>
    </xf>
    <xf numFmtId="2" fontId="5" fillId="0" borderId="0" xfId="18" applyNumberFormat="1" applyAlignment="1">
      <alignment horizontal="center"/>
    </xf>
    <xf numFmtId="0" fontId="5" fillId="0" borderId="0" xfId="18" applyAlignment="1">
      <alignment horizontal="center"/>
    </xf>
    <xf numFmtId="180" fontId="5" fillId="0" borderId="0" xfId="18" applyNumberFormat="1" applyAlignment="1">
      <alignment horizontal="center"/>
    </xf>
    <xf numFmtId="0" fontId="17" fillId="0" borderId="0" xfId="18" applyFont="1"/>
    <xf numFmtId="0" fontId="27" fillId="0" borderId="0" xfId="18" applyFont="1" applyAlignment="1">
      <alignment horizontal="left"/>
    </xf>
    <xf numFmtId="2" fontId="28" fillId="0" borderId="23" xfId="18" applyNumberFormat="1" applyFont="1" applyBorder="1" applyAlignment="1">
      <alignment horizontal="center"/>
    </xf>
    <xf numFmtId="0" fontId="27" fillId="0" borderId="0" xfId="18" applyFont="1"/>
    <xf numFmtId="2" fontId="11" fillId="0" borderId="0" xfId="18" applyNumberFormat="1" applyFont="1" applyAlignment="1">
      <alignment horizontal="right"/>
    </xf>
    <xf numFmtId="173" fontId="29" fillId="7" borderId="0" xfId="31" applyNumberFormat="1" applyFont="1" applyFill="1" applyBorder="1" applyAlignment="1" applyProtection="1">
      <alignment horizontal="right" vertical="center" wrapText="1"/>
      <protection hidden="1"/>
    </xf>
    <xf numFmtId="182" fontId="17" fillId="0" borderId="0" xfId="18" applyNumberFormat="1" applyFont="1"/>
    <xf numFmtId="0" fontId="11" fillId="0" borderId="0" xfId="18" applyFont="1" applyAlignment="1">
      <alignment horizontal="right"/>
    </xf>
    <xf numFmtId="0" fontId="11" fillId="0" borderId="0" xfId="18" applyFont="1" applyAlignment="1">
      <alignment horizontal="center"/>
    </xf>
    <xf numFmtId="0" fontId="11" fillId="0" borderId="0" xfId="18" applyFont="1"/>
    <xf numFmtId="182" fontId="29" fillId="0" borderId="0" xfId="18" applyNumberFormat="1" applyFont="1"/>
    <xf numFmtId="0" fontId="11" fillId="0" borderId="27" xfId="18" applyFont="1" applyBorder="1" applyAlignment="1">
      <alignment horizontal="center"/>
    </xf>
    <xf numFmtId="0" fontId="11" fillId="0" borderId="28" xfId="18" applyFont="1" applyBorder="1"/>
    <xf numFmtId="183" fontId="17" fillId="0" borderId="28" xfId="18" applyNumberFormat="1" applyFont="1" applyBorder="1"/>
    <xf numFmtId="0" fontId="17" fillId="0" borderId="28" xfId="18" applyFont="1" applyBorder="1"/>
    <xf numFmtId="2" fontId="17" fillId="0" borderId="28" xfId="18" applyNumberFormat="1" applyFont="1" applyBorder="1" applyAlignment="1">
      <alignment horizontal="center"/>
    </xf>
    <xf numFmtId="183" fontId="17" fillId="0" borderId="29" xfId="18" applyNumberFormat="1" applyFont="1" applyBorder="1"/>
    <xf numFmtId="183" fontId="17" fillId="0" borderId="0" xfId="18" applyNumberFormat="1" applyFont="1"/>
    <xf numFmtId="2" fontId="17" fillId="0" borderId="0" xfId="18" applyNumberFormat="1" applyFont="1" applyAlignment="1">
      <alignment horizontal="center"/>
    </xf>
    <xf numFmtId="0" fontId="11" fillId="0" borderId="28" xfId="18" applyFont="1" applyBorder="1" applyAlignment="1">
      <alignment horizontal="center" vertical="center" wrapText="1"/>
    </xf>
    <xf numFmtId="183" fontId="11" fillId="0" borderId="4" xfId="18" applyNumberFormat="1" applyFont="1" applyBorder="1" applyAlignment="1">
      <alignment horizontal="center" vertical="center" wrapText="1"/>
    </xf>
    <xf numFmtId="0" fontId="11" fillId="0" borderId="4" xfId="18" applyFont="1" applyBorder="1" applyAlignment="1">
      <alignment horizontal="center" vertical="center" wrapText="1"/>
    </xf>
    <xf numFmtId="2" fontId="11" fillId="0" borderId="4" xfId="18" applyNumberFormat="1" applyFont="1" applyBorder="1" applyAlignment="1">
      <alignment horizontal="center" vertical="center" wrapText="1"/>
    </xf>
    <xf numFmtId="0" fontId="17" fillId="7" borderId="4" xfId="18" applyFont="1" applyFill="1" applyBorder="1" applyAlignment="1">
      <alignment horizontal="center"/>
    </xf>
    <xf numFmtId="0" fontId="17" fillId="7" borderId="24" xfId="18" applyFont="1" applyFill="1" applyBorder="1"/>
    <xf numFmtId="183" fontId="17" fillId="7" borderId="15" xfId="18" applyNumberFormat="1" applyFont="1" applyFill="1" applyBorder="1"/>
    <xf numFmtId="2" fontId="17" fillId="7" borderId="24" xfId="18" applyNumberFormat="1" applyFont="1" applyFill="1" applyBorder="1"/>
    <xf numFmtId="2" fontId="17" fillId="7" borderId="15" xfId="18" applyNumberFormat="1" applyFont="1" applyFill="1" applyBorder="1" applyAlignment="1">
      <alignment horizontal="center"/>
    </xf>
    <xf numFmtId="183" fontId="17" fillId="7" borderId="25" xfId="18" applyNumberFormat="1" applyFont="1" applyFill="1" applyBorder="1"/>
    <xf numFmtId="0" fontId="17" fillId="0" borderId="4" xfId="18" applyFont="1" applyBorder="1" applyAlignment="1">
      <alignment horizontal="center"/>
    </xf>
    <xf numFmtId="183" fontId="17" fillId="0" borderId="18" xfId="18" applyNumberFormat="1" applyFont="1" applyBorder="1"/>
    <xf numFmtId="2" fontId="17" fillId="0" borderId="18" xfId="18" applyNumberFormat="1" applyFont="1" applyBorder="1"/>
    <xf numFmtId="2" fontId="17" fillId="0" borderId="18" xfId="18" applyNumberFormat="1" applyFont="1" applyBorder="1" applyAlignment="1">
      <alignment horizontal="center"/>
    </xf>
    <xf numFmtId="183" fontId="17" fillId="0" borderId="22" xfId="18" applyNumberFormat="1" applyFont="1" applyBorder="1"/>
    <xf numFmtId="0" fontId="17" fillId="7" borderId="0" xfId="18" applyFont="1" applyFill="1"/>
    <xf numFmtId="183" fontId="17" fillId="7" borderId="18" xfId="18" applyNumberFormat="1" applyFont="1" applyFill="1" applyBorder="1"/>
    <xf numFmtId="2" fontId="17" fillId="7" borderId="18" xfId="18" applyNumberFormat="1" applyFont="1" applyFill="1" applyBorder="1"/>
    <xf numFmtId="2" fontId="17" fillId="7" borderId="0" xfId="18" applyNumberFormat="1" applyFont="1" applyFill="1" applyAlignment="1">
      <alignment horizontal="center"/>
    </xf>
    <xf numFmtId="0" fontId="17" fillId="0" borderId="23" xfId="18" applyFont="1" applyBorder="1"/>
    <xf numFmtId="183" fontId="17" fillId="0" borderId="14" xfId="18" applyNumberFormat="1" applyFont="1" applyBorder="1"/>
    <xf numFmtId="2" fontId="17" fillId="0" borderId="14" xfId="18" applyNumberFormat="1" applyFont="1" applyBorder="1"/>
    <xf numFmtId="2" fontId="17" fillId="0" borderId="23" xfId="18" applyNumberFormat="1" applyFont="1" applyBorder="1" applyAlignment="1">
      <alignment horizontal="center"/>
    </xf>
    <xf numFmtId="0" fontId="17" fillId="7" borderId="27" xfId="18" applyFont="1" applyFill="1" applyBorder="1"/>
    <xf numFmtId="183" fontId="17" fillId="7" borderId="4" xfId="18" applyNumberFormat="1" applyFont="1" applyFill="1" applyBorder="1"/>
    <xf numFmtId="2" fontId="17" fillId="7" borderId="4" xfId="18" applyNumberFormat="1" applyFont="1" applyFill="1" applyBorder="1"/>
    <xf numFmtId="2" fontId="17" fillId="7" borderId="28" xfId="18" applyNumberFormat="1" applyFont="1" applyFill="1" applyBorder="1" applyAlignment="1">
      <alignment horizontal="center"/>
    </xf>
    <xf numFmtId="0" fontId="17" fillId="0" borderId="27" xfId="18" applyFont="1" applyBorder="1"/>
    <xf numFmtId="2" fontId="17" fillId="0" borderId="29" xfId="18" applyNumberFormat="1" applyFont="1" applyBorder="1" applyAlignment="1">
      <alignment horizontal="center"/>
    </xf>
    <xf numFmtId="183" fontId="11" fillId="0" borderId="4" xfId="18" applyNumberFormat="1" applyFont="1" applyBorder="1"/>
    <xf numFmtId="10" fontId="30" fillId="2" borderId="29" xfId="32" applyNumberFormat="1" applyFont="1" applyFill="1" applyBorder="1" applyAlignment="1">
      <alignment horizontal="center"/>
    </xf>
    <xf numFmtId="0" fontId="17" fillId="7" borderId="15" xfId="18" applyFont="1" applyFill="1" applyBorder="1" applyAlignment="1">
      <alignment horizontal="center"/>
    </xf>
    <xf numFmtId="0" fontId="17" fillId="7" borderId="16" xfId="18" applyFont="1" applyFill="1" applyBorder="1"/>
    <xf numFmtId="2" fontId="17" fillId="7" borderId="25" xfId="18" applyNumberFormat="1" applyFont="1" applyFill="1" applyBorder="1"/>
    <xf numFmtId="2" fontId="17" fillId="7" borderId="24" xfId="18" applyNumberFormat="1" applyFont="1" applyFill="1" applyBorder="1" applyAlignment="1">
      <alignment horizontal="center"/>
    </xf>
    <xf numFmtId="0" fontId="17" fillId="0" borderId="18" xfId="18" applyFont="1" applyBorder="1" applyAlignment="1">
      <alignment horizontal="center"/>
    </xf>
    <xf numFmtId="0" fontId="17" fillId="0" borderId="17" xfId="18" applyFont="1" applyBorder="1"/>
    <xf numFmtId="2" fontId="17" fillId="0" borderId="22" xfId="18" applyNumberFormat="1" applyFont="1" applyBorder="1"/>
    <xf numFmtId="0" fontId="17" fillId="7" borderId="18" xfId="18" applyFont="1" applyFill="1" applyBorder="1" applyAlignment="1">
      <alignment horizontal="center"/>
    </xf>
    <xf numFmtId="0" fontId="17" fillId="7" borderId="17" xfId="18" applyFont="1" applyFill="1" applyBorder="1"/>
    <xf numFmtId="2" fontId="17" fillId="7" borderId="22" xfId="18" applyNumberFormat="1" applyFont="1" applyFill="1" applyBorder="1"/>
    <xf numFmtId="0" fontId="17" fillId="7" borderId="14" xfId="18" applyFont="1" applyFill="1" applyBorder="1" applyAlignment="1">
      <alignment horizontal="center"/>
    </xf>
    <xf numFmtId="0" fontId="17" fillId="7" borderId="19" xfId="18" applyFont="1" applyFill="1" applyBorder="1"/>
    <xf numFmtId="183" fontId="17" fillId="7" borderId="14" xfId="18" applyNumberFormat="1" applyFont="1" applyFill="1" applyBorder="1"/>
    <xf numFmtId="2" fontId="17" fillId="7" borderId="26" xfId="18" applyNumberFormat="1" applyFont="1" applyFill="1" applyBorder="1"/>
    <xf numFmtId="2" fontId="17" fillId="7" borderId="23" xfId="18" applyNumberFormat="1" applyFont="1" applyFill="1" applyBorder="1" applyAlignment="1">
      <alignment horizontal="center"/>
    </xf>
    <xf numFmtId="0" fontId="17" fillId="7" borderId="28" xfId="18" applyFont="1" applyFill="1" applyBorder="1"/>
    <xf numFmtId="10" fontId="17" fillId="7" borderId="4" xfId="32" applyNumberFormat="1" applyFont="1" applyFill="1" applyBorder="1"/>
    <xf numFmtId="2" fontId="17" fillId="7" borderId="4" xfId="18" applyNumberFormat="1" applyFont="1" applyFill="1" applyBorder="1" applyAlignment="1">
      <alignment horizontal="center"/>
    </xf>
    <xf numFmtId="10" fontId="17" fillId="0" borderId="0" xfId="32" applyNumberFormat="1" applyFont="1"/>
    <xf numFmtId="0" fontId="17" fillId="0" borderId="15" xfId="18" applyFont="1" applyBorder="1" applyAlignment="1">
      <alignment horizontal="center"/>
    </xf>
    <xf numFmtId="0" fontId="17" fillId="0" borderId="24" xfId="18" applyFont="1" applyBorder="1"/>
    <xf numFmtId="183" fontId="17" fillId="0" borderId="16" xfId="18" applyNumberFormat="1" applyFont="1" applyBorder="1"/>
    <xf numFmtId="2" fontId="17" fillId="0" borderId="15" xfId="18" applyNumberFormat="1" applyFont="1" applyBorder="1"/>
    <xf numFmtId="2" fontId="17" fillId="0" borderId="16" xfId="18" applyNumberFormat="1" applyFont="1" applyBorder="1" applyAlignment="1">
      <alignment horizontal="center"/>
    </xf>
    <xf numFmtId="183" fontId="17" fillId="0" borderId="15" xfId="18" applyNumberFormat="1" applyFont="1" applyBorder="1"/>
    <xf numFmtId="182" fontId="17" fillId="7" borderId="16" xfId="18" applyNumberFormat="1" applyFont="1" applyFill="1" applyBorder="1"/>
    <xf numFmtId="10" fontId="17" fillId="7" borderId="15" xfId="32" applyNumberFormat="1" applyFont="1" applyFill="1" applyBorder="1"/>
    <xf numFmtId="2" fontId="17" fillId="7" borderId="16" xfId="18" applyNumberFormat="1" applyFont="1" applyFill="1" applyBorder="1" applyAlignment="1">
      <alignment horizontal="center"/>
    </xf>
    <xf numFmtId="182" fontId="17" fillId="7" borderId="17" xfId="18" applyNumberFormat="1" applyFont="1" applyFill="1" applyBorder="1"/>
    <xf numFmtId="10" fontId="17" fillId="7" borderId="18" xfId="32" applyNumberFormat="1" applyFont="1" applyFill="1" applyBorder="1"/>
    <xf numFmtId="2" fontId="17" fillId="7" borderId="17" xfId="18" applyNumberFormat="1" applyFont="1" applyFill="1" applyBorder="1" applyAlignment="1">
      <alignment horizontal="center"/>
    </xf>
    <xf numFmtId="2" fontId="17" fillId="7" borderId="18" xfId="18" applyNumberFormat="1" applyFont="1" applyFill="1" applyBorder="1" applyAlignment="1">
      <alignment horizontal="center"/>
    </xf>
    <xf numFmtId="0" fontId="17" fillId="7" borderId="23" xfId="18" applyFont="1" applyFill="1" applyBorder="1"/>
    <xf numFmtId="183" fontId="17" fillId="7" borderId="19" xfId="18" applyNumberFormat="1" applyFont="1" applyFill="1" applyBorder="1"/>
    <xf numFmtId="10" fontId="17" fillId="7" borderId="14" xfId="32" applyNumberFormat="1" applyFont="1" applyFill="1" applyBorder="1"/>
    <xf numFmtId="2" fontId="17" fillId="7" borderId="19" xfId="18" applyNumberFormat="1" applyFont="1" applyFill="1" applyBorder="1" applyAlignment="1">
      <alignment horizontal="center"/>
    </xf>
    <xf numFmtId="0" fontId="17" fillId="0" borderId="0" xfId="18" applyFont="1" applyAlignment="1">
      <alignment horizontal="center"/>
    </xf>
    <xf numFmtId="183" fontId="17" fillId="0" borderId="23" xfId="18" applyNumberFormat="1" applyFont="1" applyBorder="1"/>
    <xf numFmtId="2" fontId="17" fillId="0" borderId="23" xfId="18" applyNumberFormat="1" applyFont="1" applyBorder="1"/>
    <xf numFmtId="2" fontId="17" fillId="0" borderId="26" xfId="18" applyNumberFormat="1" applyFont="1" applyBorder="1" applyAlignment="1">
      <alignment horizontal="center"/>
    </xf>
    <xf numFmtId="183" fontId="17" fillId="7" borderId="16" xfId="18" applyNumberFormat="1" applyFont="1" applyFill="1" applyBorder="1"/>
    <xf numFmtId="2" fontId="17" fillId="7" borderId="15" xfId="18" applyNumberFormat="1" applyFont="1" applyFill="1" applyBorder="1"/>
    <xf numFmtId="183" fontId="17" fillId="7" borderId="17" xfId="18" applyNumberFormat="1" applyFont="1" applyFill="1" applyBorder="1"/>
    <xf numFmtId="0" fontId="17" fillId="0" borderId="16" xfId="18" applyFont="1" applyBorder="1"/>
    <xf numFmtId="183" fontId="17" fillId="0" borderId="24" xfId="18" applyNumberFormat="1" applyFont="1" applyBorder="1"/>
    <xf numFmtId="2" fontId="17" fillId="0" borderId="24" xfId="18" applyNumberFormat="1" applyFont="1" applyBorder="1" applyAlignment="1">
      <alignment horizontal="center"/>
    </xf>
    <xf numFmtId="10" fontId="30" fillId="2" borderId="0" xfId="18" applyNumberFormat="1" applyFont="1" applyFill="1" applyAlignment="1">
      <alignment horizontal="center"/>
    </xf>
    <xf numFmtId="0" fontId="17" fillId="0" borderId="19" xfId="18" applyFont="1" applyBorder="1"/>
    <xf numFmtId="9" fontId="17" fillId="0" borderId="23" xfId="18" applyNumberFormat="1" applyFont="1" applyBorder="1" applyAlignment="1">
      <alignment horizontal="center"/>
    </xf>
    <xf numFmtId="9" fontId="17" fillId="0" borderId="0" xfId="18" applyNumberFormat="1" applyFont="1" applyAlignment="1">
      <alignment horizontal="center"/>
    </xf>
    <xf numFmtId="183" fontId="17" fillId="7" borderId="27" xfId="18" applyNumberFormat="1" applyFont="1" applyFill="1" applyBorder="1"/>
    <xf numFmtId="0" fontId="17" fillId="0" borderId="14" xfId="18" applyFont="1" applyBorder="1" applyAlignment="1">
      <alignment horizontal="center"/>
    </xf>
    <xf numFmtId="183" fontId="17" fillId="0" borderId="19" xfId="18" applyNumberFormat="1" applyFont="1" applyBorder="1"/>
    <xf numFmtId="2" fontId="17" fillId="0" borderId="14" xfId="18" applyNumberFormat="1" applyFont="1" applyBorder="1" applyAlignment="1">
      <alignment horizontal="center"/>
    </xf>
    <xf numFmtId="182" fontId="11" fillId="0" borderId="4" xfId="18" applyNumberFormat="1" applyFont="1" applyBorder="1"/>
    <xf numFmtId="0" fontId="11" fillId="0" borderId="15" xfId="18" applyFont="1" applyBorder="1" applyAlignment="1">
      <alignment horizontal="center"/>
    </xf>
    <xf numFmtId="9" fontId="11" fillId="0" borderId="28" xfId="18" applyNumberFormat="1" applyFont="1" applyBorder="1" applyAlignment="1">
      <alignment horizontal="center"/>
    </xf>
    <xf numFmtId="183" fontId="11" fillId="0" borderId="29" xfId="18" applyNumberFormat="1" applyFont="1" applyBorder="1"/>
    <xf numFmtId="164" fontId="17" fillId="0" borderId="0" xfId="33" applyFont="1"/>
    <xf numFmtId="0" fontId="11" fillId="0" borderId="18" xfId="18" applyFont="1" applyBorder="1" applyAlignment="1">
      <alignment horizontal="center"/>
    </xf>
    <xf numFmtId="10" fontId="11" fillId="0" borderId="0" xfId="18" applyNumberFormat="1" applyFont="1" applyAlignment="1">
      <alignment horizontal="center"/>
    </xf>
    <xf numFmtId="183" fontId="11" fillId="0" borderId="0" xfId="18" applyNumberFormat="1" applyFont="1"/>
    <xf numFmtId="2" fontId="11" fillId="0" borderId="0" xfId="18" applyNumberFormat="1" applyFont="1" applyAlignment="1">
      <alignment horizontal="center"/>
    </xf>
    <xf numFmtId="10" fontId="31" fillId="2" borderId="28" xfId="18" applyNumberFormat="1" applyFont="1" applyFill="1" applyBorder="1" applyAlignment="1">
      <alignment horizontal="center"/>
    </xf>
    <xf numFmtId="0" fontId="32" fillId="8" borderId="23" xfId="18" applyFont="1" applyFill="1" applyBorder="1" applyAlignment="1">
      <alignment horizontal="center" vertical="center"/>
    </xf>
    <xf numFmtId="0" fontId="17" fillId="7" borderId="4" xfId="18" applyFont="1" applyFill="1" applyBorder="1"/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44" fontId="3" fillId="0" borderId="18" xfId="1" applyFont="1" applyFill="1" applyBorder="1" applyAlignment="1">
      <alignment horizontal="center" vertical="center"/>
    </xf>
    <xf numFmtId="44" fontId="3" fillId="0" borderId="60" xfId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28" xfId="13" applyFont="1" applyBorder="1" applyAlignment="1">
      <alignment horizontal="center"/>
    </xf>
    <xf numFmtId="0" fontId="2" fillId="0" borderId="4" xfId="13" applyFont="1" applyBorder="1" applyAlignment="1">
      <alignment horizontal="center"/>
    </xf>
    <xf numFmtId="0" fontId="2" fillId="0" borderId="4" xfId="13" applyFont="1" applyBorder="1" applyAlignment="1">
      <alignment horizontal="center" vertical="center"/>
    </xf>
    <xf numFmtId="0" fontId="2" fillId="0" borderId="15" xfId="13" applyFont="1" applyBorder="1" applyAlignment="1">
      <alignment horizontal="center" vertical="center"/>
    </xf>
    <xf numFmtId="0" fontId="2" fillId="0" borderId="27" xfId="13" applyFont="1" applyBorder="1" applyAlignment="1">
      <alignment horizontal="center" vertical="center"/>
    </xf>
    <xf numFmtId="0" fontId="2" fillId="0" borderId="18" xfId="13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4" fontId="4" fillId="0" borderId="4" xfId="1" applyFont="1" applyFill="1" applyBorder="1" applyAlignment="1">
      <alignment horizontal="center" vertical="center"/>
    </xf>
    <xf numFmtId="44" fontId="4" fillId="0" borderId="32" xfId="1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44" fontId="4" fillId="0" borderId="53" xfId="1" applyFont="1" applyFill="1" applyBorder="1" applyAlignment="1">
      <alignment horizontal="center" vertical="center"/>
    </xf>
    <xf numFmtId="44" fontId="4" fillId="0" borderId="54" xfId="1" applyFont="1" applyFill="1" applyBorder="1" applyAlignment="1">
      <alignment horizontal="center" vertical="center"/>
    </xf>
    <xf numFmtId="0" fontId="17" fillId="0" borderId="0" xfId="18" applyFont="1" applyBorder="1"/>
    <xf numFmtId="0" fontId="17" fillId="7" borderId="0" xfId="18" applyFont="1" applyFill="1" applyBorder="1"/>
    <xf numFmtId="2" fontId="17" fillId="7" borderId="0" xfId="18" applyNumberFormat="1" applyFont="1" applyFill="1" applyBorder="1" applyAlignment="1">
      <alignment horizontal="center"/>
    </xf>
    <xf numFmtId="2" fontId="17" fillId="0" borderId="0" xfId="18" applyNumberFormat="1" applyFont="1" applyBorder="1" applyAlignment="1">
      <alignment horizontal="center"/>
    </xf>
    <xf numFmtId="0" fontId="33" fillId="0" borderId="0" xfId="0" applyFont="1" applyAlignment="1">
      <alignment horizontal="left"/>
    </xf>
    <xf numFmtId="2" fontId="6" fillId="10" borderId="4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2" fontId="6" fillId="0" borderId="53" xfId="0" applyNumberFormat="1" applyFont="1" applyBorder="1" applyAlignment="1">
      <alignment horizontal="center" vertical="center"/>
    </xf>
    <xf numFmtId="43" fontId="5" fillId="0" borderId="0" xfId="18" applyNumberFormat="1"/>
    <xf numFmtId="0" fontId="2" fillId="0" borderId="15" xfId="0" applyFont="1" applyBorder="1" applyAlignment="1">
      <alignment horizontal="center" vertical="center"/>
    </xf>
    <xf numFmtId="4" fontId="6" fillId="0" borderId="53" xfId="16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/>
    </xf>
    <xf numFmtId="0" fontId="6" fillId="9" borderId="4" xfId="0" applyFont="1" applyFill="1" applyBorder="1" applyAlignment="1">
      <alignment vertical="center" wrapText="1"/>
    </xf>
    <xf numFmtId="0" fontId="6" fillId="0" borderId="0" xfId="0" applyFont="1" applyBorder="1"/>
    <xf numFmtId="0" fontId="18" fillId="0" borderId="55" xfId="18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/>
    </xf>
    <xf numFmtId="44" fontId="0" fillId="0" borderId="0" xfId="1" applyFont="1"/>
    <xf numFmtId="0" fontId="27" fillId="0" borderId="41" xfId="0" applyFont="1" applyBorder="1" applyAlignment="1">
      <alignment vertical="center"/>
    </xf>
    <xf numFmtId="0" fontId="27" fillId="0" borderId="39" xfId="0" applyFont="1" applyBorder="1" applyAlignment="1">
      <alignment horizontal="center" vertical="center"/>
    </xf>
    <xf numFmtId="44" fontId="27" fillId="0" borderId="39" xfId="1" applyFont="1" applyBorder="1" applyAlignment="1">
      <alignment horizontal="center" vertical="center"/>
    </xf>
    <xf numFmtId="44" fontId="27" fillId="0" borderId="40" xfId="1" applyFont="1" applyBorder="1" applyAlignment="1">
      <alignment horizontal="center" vertical="center"/>
    </xf>
    <xf numFmtId="0" fontId="4" fillId="0" borderId="31" xfId="0" quotePrefix="1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4" fontId="4" fillId="0" borderId="4" xfId="26" applyNumberFormat="1" applyFont="1" applyBorder="1" applyAlignment="1">
      <alignment horizontal="center"/>
    </xf>
    <xf numFmtId="44" fontId="4" fillId="0" borderId="32" xfId="1" applyFont="1" applyBorder="1"/>
    <xf numFmtId="0" fontId="4" fillId="0" borderId="0" xfId="0" quotePrefix="1" applyFont="1" applyAlignment="1">
      <alignment horizontal="center"/>
    </xf>
    <xf numFmtId="0" fontId="4" fillId="0" borderId="0" xfId="26" applyFont="1"/>
    <xf numFmtId="4" fontId="4" fillId="0" borderId="0" xfId="0" applyNumberFormat="1" applyFont="1" applyAlignment="1">
      <alignment horizontal="center"/>
    </xf>
    <xf numFmtId="4" fontId="4" fillId="0" borderId="0" xfId="26" applyNumberFormat="1" applyFont="1" applyAlignment="1">
      <alignment horizontal="center"/>
    </xf>
    <xf numFmtId="44" fontId="4" fillId="0" borderId="0" xfId="1" applyFont="1" applyBorder="1"/>
    <xf numFmtId="44" fontId="27" fillId="0" borderId="35" xfId="1" applyFont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" fillId="0" borderId="4" xfId="13" applyFont="1" applyBorder="1" applyAlignment="1">
      <alignment horizontal="center" vertical="center" wrapText="1"/>
    </xf>
    <xf numFmtId="0" fontId="2" fillId="0" borderId="27" xfId="13" applyFont="1" applyBorder="1" applyAlignment="1">
      <alignment horizontal="center"/>
    </xf>
    <xf numFmtId="0" fontId="2" fillId="0" borderId="28" xfId="13" applyFont="1" applyBorder="1" applyAlignment="1">
      <alignment horizontal="center"/>
    </xf>
    <xf numFmtId="0" fontId="2" fillId="0" borderId="29" xfId="13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5" xfId="13" applyFont="1" applyBorder="1" applyAlignment="1">
      <alignment horizontal="center" vertical="center"/>
    </xf>
    <xf numFmtId="0" fontId="2" fillId="0" borderId="14" xfId="13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13" applyFont="1" applyBorder="1" applyAlignment="1">
      <alignment horizontal="center" vertical="center"/>
    </xf>
    <xf numFmtId="0" fontId="2" fillId="0" borderId="4" xfId="13" applyFont="1" applyBorder="1" applyAlignment="1">
      <alignment horizontal="center"/>
    </xf>
    <xf numFmtId="0" fontId="7" fillId="9" borderId="35" xfId="0" applyFont="1" applyFill="1" applyBorder="1" applyAlignment="1">
      <alignment horizontal="center" vertical="center"/>
    </xf>
    <xf numFmtId="0" fontId="2" fillId="9" borderId="57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/>
    </xf>
    <xf numFmtId="0" fontId="6" fillId="9" borderId="4" xfId="13" applyFont="1" applyFill="1" applyBorder="1" applyAlignment="1">
      <alignment horizontal="center"/>
    </xf>
    <xf numFmtId="4" fontId="6" fillId="9" borderId="4" xfId="13" applyNumberFormat="1" applyFont="1" applyFill="1" applyBorder="1" applyAlignment="1">
      <alignment horizontal="center"/>
    </xf>
    <xf numFmtId="0" fontId="6" fillId="9" borderId="4" xfId="18" applyFont="1" applyFill="1" applyBorder="1" applyAlignment="1">
      <alignment horizontal="center"/>
    </xf>
    <xf numFmtId="0" fontId="6" fillId="9" borderId="0" xfId="0" applyFont="1" applyFill="1"/>
    <xf numFmtId="0" fontId="6" fillId="9" borderId="0" xfId="0" applyFont="1" applyFill="1" applyAlignment="1">
      <alignment wrapText="1"/>
    </xf>
    <xf numFmtId="0" fontId="6" fillId="9" borderId="4" xfId="0" applyFont="1" applyFill="1" applyBorder="1" applyAlignment="1">
      <alignment horizontal="center"/>
    </xf>
    <xf numFmtId="2" fontId="6" fillId="9" borderId="4" xfId="0" applyNumberFormat="1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vertical="center"/>
    </xf>
    <xf numFmtId="4" fontId="6" fillId="9" borderId="4" xfId="0" applyNumberFormat="1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left" vertical="center"/>
    </xf>
    <xf numFmtId="0" fontId="2" fillId="7" borderId="34" xfId="0" applyFont="1" applyFill="1" applyBorder="1" applyAlignment="1">
      <alignment horizontal="left" vertical="center"/>
    </xf>
    <xf numFmtId="0" fontId="2" fillId="7" borderId="35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/>
    </xf>
    <xf numFmtId="0" fontId="2" fillId="7" borderId="57" xfId="0" applyFont="1" applyFill="1" applyBorder="1" applyAlignment="1">
      <alignment horizontal="left" vertical="center"/>
    </xf>
    <xf numFmtId="0" fontId="2" fillId="7" borderId="5" xfId="0" applyFont="1" applyFill="1" applyBorder="1" applyAlignment="1">
      <alignment horizontal="left" vertical="center"/>
    </xf>
    <xf numFmtId="4" fontId="2" fillId="7" borderId="5" xfId="1" applyNumberFormat="1" applyFont="1" applyFill="1" applyBorder="1"/>
    <xf numFmtId="0" fontId="2" fillId="7" borderId="56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6" fillId="6" borderId="4" xfId="0" applyFont="1" applyFill="1" applyBorder="1" applyAlignment="1">
      <alignment horizontal="center" vertical="center"/>
    </xf>
    <xf numFmtId="44" fontId="21" fillId="6" borderId="4" xfId="0" applyNumberFormat="1" applyFont="1" applyFill="1" applyBorder="1"/>
    <xf numFmtId="0" fontId="6" fillId="6" borderId="55" xfId="0" applyFont="1" applyFill="1" applyBorder="1" applyAlignment="1">
      <alignment horizontal="center" vertical="center"/>
    </xf>
    <xf numFmtId="39" fontId="2" fillId="6" borderId="39" xfId="0" applyNumberFormat="1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/>
    </xf>
    <xf numFmtId="39" fontId="6" fillId="6" borderId="4" xfId="0" applyNumberFormat="1" applyFont="1" applyFill="1" applyBorder="1" applyAlignment="1">
      <alignment horizontal="left" vertical="center"/>
    </xf>
    <xf numFmtId="39" fontId="6" fillId="6" borderId="53" xfId="0" applyNumberFormat="1" applyFont="1" applyFill="1" applyBorder="1" applyAlignment="1">
      <alignment horizontal="left" vertical="center"/>
    </xf>
    <xf numFmtId="39" fontId="2" fillId="6" borderId="39" xfId="0" applyNumberFormat="1" applyFont="1" applyFill="1" applyBorder="1" applyAlignment="1">
      <alignment horizontal="center" vertical="center"/>
    </xf>
    <xf numFmtId="39" fontId="6" fillId="6" borderId="4" xfId="0" applyNumberFormat="1" applyFont="1" applyFill="1" applyBorder="1" applyAlignment="1">
      <alignment horizontal="center" vertical="center"/>
    </xf>
    <xf numFmtId="167" fontId="6" fillId="6" borderId="4" xfId="0" applyNumberFormat="1" applyFont="1" applyFill="1" applyBorder="1" applyAlignment="1">
      <alignment horizontal="center" vertical="center"/>
    </xf>
    <xf numFmtId="44" fontId="6" fillId="6" borderId="4" xfId="0" applyNumberFormat="1" applyFont="1" applyFill="1" applyBorder="1" applyAlignment="1">
      <alignment horizontal="left" vertical="center"/>
    </xf>
    <xf numFmtId="44" fontId="6" fillId="6" borderId="32" xfId="1" applyFont="1" applyFill="1" applyBorder="1" applyAlignment="1">
      <alignment vertical="center"/>
    </xf>
    <xf numFmtId="175" fontId="6" fillId="6" borderId="4" xfId="0" applyNumberFormat="1" applyFont="1" applyFill="1" applyBorder="1" applyAlignment="1">
      <alignment horizontal="center" vertical="center"/>
    </xf>
    <xf numFmtId="39" fontId="6" fillId="6" borderId="53" xfId="0" applyNumberFormat="1" applyFont="1" applyFill="1" applyBorder="1" applyAlignment="1">
      <alignment horizontal="center" vertical="center"/>
    </xf>
    <xf numFmtId="167" fontId="6" fillId="6" borderId="53" xfId="0" applyNumberFormat="1" applyFont="1" applyFill="1" applyBorder="1" applyAlignment="1">
      <alignment horizontal="center" vertical="center"/>
    </xf>
    <xf numFmtId="44" fontId="6" fillId="6" borderId="53" xfId="0" applyNumberFormat="1" applyFont="1" applyFill="1" applyBorder="1" applyAlignment="1">
      <alignment horizontal="left" vertical="center"/>
    </xf>
    <xf numFmtId="44" fontId="6" fillId="6" borderId="54" xfId="1" applyFont="1" applyFill="1" applyBorder="1" applyAlignment="1">
      <alignment vertical="center"/>
    </xf>
    <xf numFmtId="2" fontId="6" fillId="6" borderId="4" xfId="0" applyNumberFormat="1" applyFont="1" applyFill="1" applyBorder="1" applyAlignment="1">
      <alignment horizontal="center" vertical="center"/>
    </xf>
    <xf numFmtId="184" fontId="6" fillId="6" borderId="4" xfId="0" applyNumberFormat="1" applyFont="1" applyFill="1" applyBorder="1" applyAlignment="1">
      <alignment horizontal="left" vertical="center"/>
    </xf>
    <xf numFmtId="184" fontId="6" fillId="6" borderId="32" xfId="1" applyNumberFormat="1" applyFont="1" applyFill="1" applyBorder="1"/>
    <xf numFmtId="0" fontId="6" fillId="6" borderId="53" xfId="0" applyFont="1" applyFill="1" applyBorder="1" applyAlignment="1">
      <alignment horizontal="center" vertical="center"/>
    </xf>
    <xf numFmtId="2" fontId="6" fillId="6" borderId="53" xfId="0" applyNumberFormat="1" applyFont="1" applyFill="1" applyBorder="1" applyAlignment="1">
      <alignment horizontal="center" vertical="center"/>
    </xf>
    <xf numFmtId="184" fontId="6" fillId="6" borderId="53" xfId="0" applyNumberFormat="1" applyFont="1" applyFill="1" applyBorder="1" applyAlignment="1">
      <alignment horizontal="left" vertical="center"/>
    </xf>
    <xf numFmtId="184" fontId="6" fillId="6" borderId="54" xfId="1" applyNumberFormat="1" applyFont="1" applyFill="1" applyBorder="1"/>
    <xf numFmtId="184" fontId="2" fillId="6" borderId="37" xfId="1" applyNumberFormat="1" applyFont="1" applyFill="1" applyBorder="1"/>
    <xf numFmtId="0" fontId="21" fillId="6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vertical="center" wrapText="1"/>
    </xf>
    <xf numFmtId="2" fontId="21" fillId="6" borderId="4" xfId="0" applyNumberFormat="1" applyFont="1" applyFill="1" applyBorder="1" applyAlignment="1">
      <alignment horizontal="center"/>
    </xf>
    <xf numFmtId="0" fontId="6" fillId="6" borderId="36" xfId="0" applyFont="1" applyFill="1" applyBorder="1" applyAlignment="1">
      <alignment horizontal="center" vertical="center"/>
    </xf>
    <xf numFmtId="39" fontId="2" fillId="6" borderId="14" xfId="0" applyNumberFormat="1" applyFont="1" applyFill="1" applyBorder="1" applyAlignment="1">
      <alignment horizontal="left" vertical="center" wrapText="1"/>
    </xf>
    <xf numFmtId="39" fontId="2" fillId="6" borderId="14" xfId="0" applyNumberFormat="1" applyFont="1" applyFill="1" applyBorder="1" applyAlignment="1">
      <alignment horizontal="center" vertical="center"/>
    </xf>
    <xf numFmtId="167" fontId="34" fillId="6" borderId="14" xfId="0" applyNumberFormat="1" applyFont="1" applyFill="1" applyBorder="1" applyAlignment="1">
      <alignment horizontal="center" vertical="center"/>
    </xf>
    <xf numFmtId="44" fontId="34" fillId="6" borderId="14" xfId="0" applyNumberFormat="1" applyFont="1" applyFill="1" applyBorder="1" applyAlignment="1">
      <alignment horizontal="left" vertical="center"/>
    </xf>
    <xf numFmtId="184" fontId="2" fillId="6" borderId="37" xfId="1" applyNumberFormat="1" applyFont="1" applyFill="1" applyBorder="1" applyAlignment="1">
      <alignment vertical="center"/>
    </xf>
    <xf numFmtId="0" fontId="2" fillId="6" borderId="19" xfId="0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center"/>
    </xf>
    <xf numFmtId="0" fontId="35" fillId="6" borderId="14" xfId="0" applyFont="1" applyFill="1" applyBorder="1" applyAlignment="1">
      <alignment horizontal="center"/>
    </xf>
    <xf numFmtId="44" fontId="35" fillId="6" borderId="14" xfId="0" applyNumberFormat="1" applyFont="1" applyFill="1" applyBorder="1"/>
    <xf numFmtId="0" fontId="34" fillId="6" borderId="63" xfId="0" applyFont="1" applyFill="1" applyBorder="1" applyAlignment="1">
      <alignment vertical="center"/>
    </xf>
    <xf numFmtId="44" fontId="7" fillId="6" borderId="37" xfId="0" applyNumberFormat="1" applyFont="1" applyFill="1" applyBorder="1"/>
    <xf numFmtId="0" fontId="25" fillId="6" borderId="31" xfId="0" applyFont="1" applyFill="1" applyBorder="1" applyAlignment="1">
      <alignment horizontal="center" vertical="center" wrapText="1"/>
    </xf>
    <xf numFmtId="44" fontId="21" fillId="6" borderId="32" xfId="0" applyNumberFormat="1" applyFont="1" applyFill="1" applyBorder="1"/>
    <xf numFmtId="0" fontId="25" fillId="6" borderId="55" xfId="0" applyFont="1" applyFill="1" applyBorder="1" applyAlignment="1">
      <alignment horizontal="center" vertical="center" wrapText="1"/>
    </xf>
    <xf numFmtId="0" fontId="6" fillId="6" borderId="53" xfId="0" applyFont="1" applyFill="1" applyBorder="1" applyAlignment="1">
      <alignment horizontal="left" vertical="center"/>
    </xf>
    <xf numFmtId="0" fontId="21" fillId="6" borderId="53" xfId="0" applyFont="1" applyFill="1" applyBorder="1" applyAlignment="1">
      <alignment horizontal="center"/>
    </xf>
    <xf numFmtId="2" fontId="21" fillId="6" borderId="53" xfId="0" applyNumberFormat="1" applyFont="1" applyFill="1" applyBorder="1" applyAlignment="1">
      <alignment horizontal="center"/>
    </xf>
    <xf numFmtId="44" fontId="21" fillId="6" borderId="53" xfId="0" applyNumberFormat="1" applyFont="1" applyFill="1" applyBorder="1"/>
    <xf numFmtId="44" fontId="21" fillId="6" borderId="54" xfId="0" applyNumberFormat="1" applyFont="1" applyFill="1" applyBorder="1"/>
    <xf numFmtId="0" fontId="2" fillId="6" borderId="14" xfId="0" applyFont="1" applyFill="1" applyBorder="1" applyAlignment="1">
      <alignment horizontal="left" vertical="center" wrapText="1"/>
    </xf>
    <xf numFmtId="0" fontId="2" fillId="7" borderId="34" xfId="0" applyFont="1" applyFill="1" applyBorder="1" applyAlignment="1">
      <alignment horizontal="center" vertical="center"/>
    </xf>
    <xf numFmtId="0" fontId="6" fillId="6" borderId="48" xfId="0" applyFont="1" applyFill="1" applyBorder="1" applyAlignment="1">
      <alignment vertical="center" wrapText="1"/>
    </xf>
    <xf numFmtId="0" fontId="6" fillId="6" borderId="28" xfId="0" applyFont="1" applyFill="1" applyBorder="1" applyAlignment="1">
      <alignment vertical="center"/>
    </xf>
    <xf numFmtId="0" fontId="6" fillId="6" borderId="51" xfId="0" applyFont="1" applyFill="1" applyBorder="1" applyAlignment="1">
      <alignment vertical="center"/>
    </xf>
    <xf numFmtId="0" fontId="2" fillId="6" borderId="31" xfId="0" applyFont="1" applyFill="1" applyBorder="1" applyAlignment="1">
      <alignment vertical="center"/>
    </xf>
    <xf numFmtId="0" fontId="2" fillId="6" borderId="55" xfId="0" applyFont="1" applyFill="1" applyBorder="1" applyAlignment="1">
      <alignment vertical="center"/>
    </xf>
    <xf numFmtId="0" fontId="34" fillId="6" borderId="36" xfId="0" applyFont="1" applyFill="1" applyBorder="1" applyAlignment="1">
      <alignment vertical="center" wrapText="1"/>
    </xf>
    <xf numFmtId="0" fontId="2" fillId="6" borderId="23" xfId="0" applyFont="1" applyFill="1" applyBorder="1" applyAlignment="1">
      <alignment vertical="center" wrapText="1"/>
    </xf>
    <xf numFmtId="44" fontId="7" fillId="6" borderId="62" xfId="0" applyNumberFormat="1" applyFont="1" applyFill="1" applyBorder="1"/>
    <xf numFmtId="0" fontId="21" fillId="0" borderId="0" xfId="15" applyNumberFormat="1" applyFont="1" applyFill="1" applyBorder="1" applyAlignment="1">
      <alignment horizontal="center" vertical="center"/>
    </xf>
    <xf numFmtId="10" fontId="21" fillId="0" borderId="0" xfId="15" applyNumberFormat="1" applyFont="1" applyFill="1" applyBorder="1" applyAlignment="1">
      <alignment horizontal="center" vertical="center"/>
    </xf>
    <xf numFmtId="44" fontId="21" fillId="0" borderId="0" xfId="0" applyNumberFormat="1" applyFont="1" applyFill="1" applyBorder="1"/>
    <xf numFmtId="44" fontId="21" fillId="6" borderId="4" xfId="15" applyNumberFormat="1" applyFont="1" applyFill="1" applyBorder="1" applyAlignment="1">
      <alignment horizontal="center"/>
    </xf>
    <xf numFmtId="0" fontId="21" fillId="6" borderId="4" xfId="15" applyNumberFormat="1" applyFont="1" applyFill="1" applyBorder="1" applyAlignment="1">
      <alignment horizontal="center"/>
    </xf>
    <xf numFmtId="4" fontId="21" fillId="6" borderId="4" xfId="0" applyNumberFormat="1" applyFont="1" applyFill="1" applyBorder="1" applyAlignment="1">
      <alignment horizontal="center"/>
    </xf>
    <xf numFmtId="39" fontId="2" fillId="6" borderId="39" xfId="0" applyNumberFormat="1" applyFont="1" applyFill="1" applyBorder="1" applyAlignment="1">
      <alignment horizontal="left" vertical="center"/>
    </xf>
    <xf numFmtId="39" fontId="6" fillId="6" borderId="39" xfId="0" applyNumberFormat="1" applyFont="1" applyFill="1" applyBorder="1" applyAlignment="1">
      <alignment horizontal="center" vertical="center"/>
    </xf>
    <xf numFmtId="44" fontId="21" fillId="6" borderId="39" xfId="0" applyNumberFormat="1" applyFont="1" applyFill="1" applyBorder="1"/>
    <xf numFmtId="44" fontId="7" fillId="6" borderId="40" xfId="0" applyNumberFormat="1" applyFont="1" applyFill="1" applyBorder="1"/>
    <xf numFmtId="167" fontId="21" fillId="6" borderId="4" xfId="0" applyNumberFormat="1" applyFont="1" applyFill="1" applyBorder="1"/>
    <xf numFmtId="44" fontId="21" fillId="6" borderId="4" xfId="15" applyNumberFormat="1" applyFont="1" applyFill="1" applyBorder="1" applyAlignment="1">
      <alignment vertical="center"/>
    </xf>
    <xf numFmtId="39" fontId="21" fillId="6" borderId="4" xfId="15" applyNumberFormat="1" applyFont="1" applyFill="1" applyBorder="1" applyAlignment="1">
      <alignment horizontal="center" vertical="center"/>
    </xf>
    <xf numFmtId="170" fontId="21" fillId="6" borderId="4" xfId="15" applyNumberFormat="1" applyFont="1" applyFill="1" applyBorder="1" applyAlignment="1">
      <alignment horizontal="center" vertical="center"/>
    </xf>
    <xf numFmtId="167" fontId="7" fillId="6" borderId="39" xfId="0" applyNumberFormat="1" applyFont="1" applyFill="1" applyBorder="1"/>
    <xf numFmtId="44" fontId="7" fillId="6" borderId="39" xfId="15" applyNumberFormat="1" applyFont="1" applyFill="1" applyBorder="1" applyAlignment="1">
      <alignment vertical="center"/>
    </xf>
    <xf numFmtId="39" fontId="7" fillId="6" borderId="39" xfId="15" applyNumberFormat="1" applyFont="1" applyFill="1" applyBorder="1" applyAlignment="1">
      <alignment horizontal="center" vertical="center"/>
    </xf>
    <xf numFmtId="44" fontId="7" fillId="6" borderId="40" xfId="0" applyNumberFormat="1" applyFont="1" applyFill="1" applyBorder="1" applyAlignment="1">
      <alignment vertical="center"/>
    </xf>
    <xf numFmtId="44" fontId="21" fillId="6" borderId="32" xfId="0" applyNumberFormat="1" applyFont="1" applyFill="1" applyBorder="1" applyAlignment="1">
      <alignment vertical="center"/>
    </xf>
    <xf numFmtId="167" fontId="21" fillId="6" borderId="53" xfId="0" applyNumberFormat="1" applyFont="1" applyFill="1" applyBorder="1"/>
    <xf numFmtId="44" fontId="21" fillId="6" borderId="53" xfId="15" applyNumberFormat="1" applyFont="1" applyFill="1" applyBorder="1" applyAlignment="1">
      <alignment vertical="center"/>
    </xf>
    <xf numFmtId="39" fontId="21" fillId="6" borderId="53" xfId="15" applyNumberFormat="1" applyFont="1" applyFill="1" applyBorder="1" applyAlignment="1">
      <alignment horizontal="center" vertical="center"/>
    </xf>
    <xf numFmtId="44" fontId="21" fillId="6" borderId="54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167" fontId="21" fillId="6" borderId="4" xfId="0" applyNumberFormat="1" applyFont="1" applyFill="1" applyBorder="1" applyAlignment="1">
      <alignment horizontal="center"/>
    </xf>
    <xf numFmtId="167" fontId="21" fillId="6" borderId="53" xfId="0" applyNumberFormat="1" applyFont="1" applyFill="1" applyBorder="1" applyAlignment="1">
      <alignment horizontal="center"/>
    </xf>
    <xf numFmtId="184" fontId="21" fillId="6" borderId="32" xfId="0" applyNumberFormat="1" applyFont="1" applyFill="1" applyBorder="1"/>
    <xf numFmtId="184" fontId="21" fillId="6" borderId="4" xfId="0" applyNumberFormat="1" applyFont="1" applyFill="1" applyBorder="1"/>
    <xf numFmtId="184" fontId="21" fillId="6" borderId="53" xfId="0" applyNumberFormat="1" applyFont="1" applyFill="1" applyBorder="1"/>
    <xf numFmtId="184" fontId="21" fillId="6" borderId="54" xfId="0" applyNumberFormat="1" applyFont="1" applyFill="1" applyBorder="1"/>
    <xf numFmtId="0" fontId="2" fillId="7" borderId="33" xfId="0" applyFont="1" applyFill="1" applyBorder="1" applyAlignment="1">
      <alignment horizontal="center" vertical="center"/>
    </xf>
    <xf numFmtId="0" fontId="7" fillId="7" borderId="34" xfId="0" applyFont="1" applyFill="1" applyBorder="1"/>
    <xf numFmtId="4" fontId="7" fillId="7" borderId="34" xfId="0" applyNumberFormat="1" applyFont="1" applyFill="1" applyBorder="1"/>
    <xf numFmtId="0" fontId="7" fillId="7" borderId="35" xfId="0" applyFont="1" applyFill="1" applyBorder="1"/>
    <xf numFmtId="0" fontId="7" fillId="6" borderId="14" xfId="0" applyFont="1" applyFill="1" applyBorder="1"/>
    <xf numFmtId="184" fontId="7" fillId="6" borderId="37" xfId="0" applyNumberFormat="1" applyFont="1" applyFill="1" applyBorder="1" applyAlignment="1">
      <alignment horizontal="center" vertical="center"/>
    </xf>
    <xf numFmtId="3" fontId="7" fillId="6" borderId="40" xfId="0" applyNumberFormat="1" applyFont="1" applyFill="1" applyBorder="1" applyAlignment="1">
      <alignment horizontal="right"/>
    </xf>
    <xf numFmtId="0" fontId="6" fillId="6" borderId="38" xfId="0" applyFont="1" applyFill="1" applyBorder="1"/>
    <xf numFmtId="0" fontId="6" fillId="6" borderId="31" xfId="0" applyFont="1" applyFill="1" applyBorder="1"/>
    <xf numFmtId="39" fontId="6" fillId="6" borderId="4" xfId="0" applyNumberFormat="1" applyFont="1" applyFill="1" applyBorder="1"/>
    <xf numFmtId="39" fontId="6" fillId="6" borderId="4" xfId="0" applyNumberFormat="1" applyFont="1" applyFill="1" applyBorder="1" applyAlignment="1">
      <alignment horizontal="center" wrapText="1"/>
    </xf>
    <xf numFmtId="167" fontId="6" fillId="6" borderId="4" xfId="0" applyNumberFormat="1" applyFont="1" applyFill="1" applyBorder="1" applyAlignment="1">
      <alignment horizontal="center"/>
    </xf>
    <xf numFmtId="44" fontId="6" fillId="6" borderId="4" xfId="0" applyNumberFormat="1" applyFont="1" applyFill="1" applyBorder="1"/>
    <xf numFmtId="39" fontId="6" fillId="6" borderId="4" xfId="1" applyNumberFormat="1" applyFont="1" applyFill="1" applyBorder="1" applyAlignment="1">
      <alignment horizontal="center"/>
    </xf>
    <xf numFmtId="44" fontId="6" fillId="6" borderId="32" xfId="1" applyFont="1" applyFill="1" applyBorder="1"/>
    <xf numFmtId="0" fontId="6" fillId="6" borderId="55" xfId="0" applyFont="1" applyFill="1" applyBorder="1"/>
    <xf numFmtId="167" fontId="6" fillId="6" borderId="53" xfId="0" applyNumberFormat="1" applyFont="1" applyFill="1" applyBorder="1" applyAlignment="1">
      <alignment horizontal="center"/>
    </xf>
    <xf numFmtId="39" fontId="2" fillId="6" borderId="39" xfId="0" applyNumberFormat="1" applyFont="1" applyFill="1" applyBorder="1" applyAlignment="1">
      <alignment wrapText="1"/>
    </xf>
    <xf numFmtId="39" fontId="2" fillId="6" borderId="39" xfId="0" applyNumberFormat="1" applyFont="1" applyFill="1" applyBorder="1" applyAlignment="1">
      <alignment horizontal="center" vertical="center" wrapText="1"/>
    </xf>
    <xf numFmtId="167" fontId="2" fillId="6" borderId="39" xfId="0" applyNumberFormat="1" applyFont="1" applyFill="1" applyBorder="1" applyAlignment="1">
      <alignment horizontal="center"/>
    </xf>
    <xf numFmtId="44" fontId="2" fillId="6" borderId="39" xfId="0" applyNumberFormat="1" applyFont="1" applyFill="1" applyBorder="1"/>
    <xf numFmtId="39" fontId="2" fillId="6" borderId="39" xfId="1" applyNumberFormat="1" applyFont="1" applyFill="1" applyBorder="1"/>
    <xf numFmtId="44" fontId="2" fillId="6" borderId="40" xfId="1" applyFont="1" applyFill="1" applyBorder="1"/>
    <xf numFmtId="37" fontId="6" fillId="6" borderId="31" xfId="0" applyNumberFormat="1" applyFont="1" applyFill="1" applyBorder="1" applyAlignment="1">
      <alignment horizontal="center"/>
    </xf>
    <xf numFmtId="170" fontId="6" fillId="6" borderId="4" xfId="0" applyNumberFormat="1" applyFont="1" applyFill="1" applyBorder="1" applyAlignment="1">
      <alignment horizontal="center" vertical="center"/>
    </xf>
    <xf numFmtId="4" fontId="6" fillId="6" borderId="53" xfId="0" applyNumberFormat="1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left" vertical="center"/>
    </xf>
    <xf numFmtId="0" fontId="6" fillId="6" borderId="61" xfId="0" applyFont="1" applyFill="1" applyBorder="1" applyAlignment="1">
      <alignment horizontal="left" vertical="center"/>
    </xf>
    <xf numFmtId="39" fontId="2" fillId="6" borderId="64" xfId="0" applyNumberFormat="1" applyFont="1" applyFill="1" applyBorder="1" applyAlignment="1">
      <alignment vertical="center"/>
    </xf>
    <xf numFmtId="44" fontId="2" fillId="6" borderId="39" xfId="0" applyNumberFormat="1" applyFont="1" applyFill="1" applyBorder="1" applyAlignment="1">
      <alignment horizontal="left" vertical="center"/>
    </xf>
    <xf numFmtId="44" fontId="2" fillId="6" borderId="40" xfId="1" applyFont="1" applyFill="1" applyBorder="1" applyAlignment="1">
      <alignment vertical="center"/>
    </xf>
    <xf numFmtId="37" fontId="6" fillId="6" borderId="38" xfId="0" applyNumberFormat="1" applyFont="1" applyFill="1" applyBorder="1" applyAlignment="1">
      <alignment horizontal="center" vertical="center"/>
    </xf>
    <xf numFmtId="37" fontId="6" fillId="6" borderId="31" xfId="0" applyNumberFormat="1" applyFont="1" applyFill="1" applyBorder="1" applyAlignment="1">
      <alignment horizontal="center" vertical="center"/>
    </xf>
    <xf numFmtId="37" fontId="6" fillId="6" borderId="55" xfId="0" applyNumberFormat="1" applyFont="1" applyFill="1" applyBorder="1" applyAlignment="1">
      <alignment horizontal="center"/>
    </xf>
    <xf numFmtId="0" fontId="6" fillId="9" borderId="31" xfId="0" quotePrefix="1" applyFont="1" applyFill="1" applyBorder="1" applyAlignment="1">
      <alignment horizontal="center" vertical="center"/>
    </xf>
    <xf numFmtId="3" fontId="7" fillId="6" borderId="39" xfId="0" applyNumberFormat="1" applyFont="1" applyFill="1" applyBorder="1"/>
    <xf numFmtId="39" fontId="7" fillId="6" borderId="39" xfId="0" applyNumberFormat="1" applyFont="1" applyFill="1" applyBorder="1"/>
    <xf numFmtId="3" fontId="21" fillId="6" borderId="53" xfId="0" applyNumberFormat="1" applyFont="1" applyFill="1" applyBorder="1"/>
    <xf numFmtId="39" fontId="21" fillId="6" borderId="53" xfId="0" applyNumberFormat="1" applyFont="1" applyFill="1" applyBorder="1"/>
    <xf numFmtId="0" fontId="2" fillId="6" borderId="2" xfId="0" applyFont="1" applyFill="1" applyBorder="1" applyAlignment="1">
      <alignment horizontal="center" vertical="center"/>
    </xf>
    <xf numFmtId="167" fontId="2" fillId="6" borderId="39" xfId="0" applyNumberFormat="1" applyFont="1" applyFill="1" applyBorder="1" applyAlignment="1">
      <alignment horizontal="center" vertical="center"/>
    </xf>
    <xf numFmtId="167" fontId="7" fillId="6" borderId="39" xfId="0" applyNumberFormat="1" applyFont="1" applyFill="1" applyBorder="1" applyAlignment="1">
      <alignment horizontal="center"/>
    </xf>
    <xf numFmtId="39" fontId="21" fillId="6" borderId="4" xfId="0" applyNumberFormat="1" applyFont="1" applyFill="1" applyBorder="1" applyAlignment="1">
      <alignment horizontal="center"/>
    </xf>
    <xf numFmtId="4" fontId="2" fillId="9" borderId="56" xfId="1" applyNumberFormat="1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 vertical="center"/>
    </xf>
    <xf numFmtId="167" fontId="21" fillId="9" borderId="4" xfId="0" applyNumberFormat="1" applyFont="1" applyFill="1" applyBorder="1"/>
    <xf numFmtId="44" fontId="21" fillId="9" borderId="4" xfId="0" applyNumberFormat="1" applyFont="1" applyFill="1" applyBorder="1"/>
    <xf numFmtId="39" fontId="21" fillId="9" borderId="4" xfId="0" applyNumberFormat="1" applyFont="1" applyFill="1" applyBorder="1"/>
    <xf numFmtId="44" fontId="21" fillId="9" borderId="32" xfId="0" applyNumberFormat="1" applyFont="1" applyFill="1" applyBorder="1"/>
    <xf numFmtId="0" fontId="6" fillId="9" borderId="55" xfId="0" applyFont="1" applyFill="1" applyBorder="1" applyAlignment="1">
      <alignment horizontal="center" vertical="center"/>
    </xf>
    <xf numFmtId="167" fontId="21" fillId="9" borderId="53" xfId="0" applyNumberFormat="1" applyFont="1" applyFill="1" applyBorder="1"/>
    <xf numFmtId="44" fontId="21" fillId="9" borderId="53" xfId="0" applyNumberFormat="1" applyFont="1" applyFill="1" applyBorder="1"/>
    <xf numFmtId="39" fontId="21" fillId="9" borderId="53" xfId="0" applyNumberFormat="1" applyFont="1" applyFill="1" applyBorder="1"/>
    <xf numFmtId="44" fontId="21" fillId="9" borderId="54" xfId="0" applyNumberFormat="1" applyFont="1" applyFill="1" applyBorder="1"/>
    <xf numFmtId="164" fontId="2" fillId="0" borderId="0" xfId="19" applyFont="1" applyFill="1" applyBorder="1"/>
    <xf numFmtId="0" fontId="2" fillId="0" borderId="0" xfId="0" applyFont="1" applyFill="1" applyBorder="1" applyAlignment="1">
      <alignment horizontal="center" vertical="center"/>
    </xf>
    <xf numFmtId="44" fontId="7" fillId="0" borderId="0" xfId="1" applyFont="1" applyFill="1" applyBorder="1"/>
    <xf numFmtId="44" fontId="7" fillId="0" borderId="0" xfId="0" applyNumberFormat="1" applyFont="1" applyFill="1" applyBorder="1"/>
    <xf numFmtId="0" fontId="2" fillId="9" borderId="35" xfId="0" applyFont="1" applyFill="1" applyBorder="1" applyAlignment="1">
      <alignment horizontal="center" vertical="center"/>
    </xf>
    <xf numFmtId="0" fontId="6" fillId="9" borderId="31" xfId="18" applyFont="1" applyFill="1" applyBorder="1" applyAlignment="1">
      <alignment horizontal="center"/>
    </xf>
    <xf numFmtId="0" fontId="6" fillId="9" borderId="0" xfId="0" applyFont="1" applyFill="1" applyAlignment="1">
      <alignment horizontal="center" vertical="center"/>
    </xf>
    <xf numFmtId="0" fontId="2" fillId="9" borderId="33" xfId="0" applyFont="1" applyFill="1" applyBorder="1" applyAlignment="1">
      <alignment vertical="center" wrapText="1"/>
    </xf>
    <xf numFmtId="0" fontId="6" fillId="9" borderId="38" xfId="18" applyFont="1" applyFill="1" applyBorder="1" applyAlignment="1">
      <alignment horizontal="center"/>
    </xf>
    <xf numFmtId="4" fontId="6" fillId="9" borderId="4" xfId="18" applyNumberFormat="1" applyFont="1" applyFill="1" applyBorder="1" applyAlignment="1">
      <alignment horizontal="center"/>
    </xf>
    <xf numFmtId="4" fontId="6" fillId="9" borderId="0" xfId="1" applyNumberFormat="1" applyFont="1" applyFill="1"/>
    <xf numFmtId="4" fontId="2" fillId="9" borderId="35" xfId="1" applyNumberFormat="1" applyFont="1" applyFill="1" applyBorder="1" applyAlignment="1">
      <alignment horizontal="right" vertical="center"/>
    </xf>
    <xf numFmtId="0" fontId="2" fillId="0" borderId="0" xfId="13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2" fontId="6" fillId="0" borderId="0" xfId="13" applyNumberFormat="1" applyFont="1" applyBorder="1" applyAlignment="1">
      <alignment horizontal="center" vertical="center"/>
    </xf>
    <xf numFmtId="0" fontId="6" fillId="0" borderId="0" xfId="13" applyFont="1" applyBorder="1" applyAlignment="1">
      <alignment horizontal="center" vertical="center"/>
    </xf>
    <xf numFmtId="4" fontId="6" fillId="0" borderId="0" xfId="16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13" applyFont="1" applyBorder="1" applyAlignment="1">
      <alignment horizontal="center" vertical="center"/>
    </xf>
    <xf numFmtId="165" fontId="6" fillId="0" borderId="0" xfId="13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4" fontId="2" fillId="0" borderId="0" xfId="13" applyNumberFormat="1" applyFont="1" applyBorder="1" applyAlignment="1">
      <alignment horizontal="center" vertical="center"/>
    </xf>
    <xf numFmtId="0" fontId="21" fillId="6" borderId="38" xfId="0" applyFont="1" applyFill="1" applyBorder="1"/>
    <xf numFmtId="0" fontId="21" fillId="6" borderId="31" xfId="0" applyFont="1" applyFill="1" applyBorder="1"/>
    <xf numFmtId="39" fontId="21" fillId="6" borderId="4" xfId="0" applyNumberFormat="1" applyFont="1" applyFill="1" applyBorder="1"/>
    <xf numFmtId="0" fontId="21" fillId="6" borderId="55" xfId="0" applyFont="1" applyFill="1" applyBorder="1"/>
    <xf numFmtId="44" fontId="7" fillId="6" borderId="39" xfId="0" applyNumberFormat="1" applyFont="1" applyFill="1" applyBorder="1"/>
    <xf numFmtId="0" fontId="0" fillId="9" borderId="0" xfId="0" applyFill="1"/>
    <xf numFmtId="44" fontId="0" fillId="9" borderId="0" xfId="1" applyFont="1" applyFill="1"/>
    <xf numFmtId="0" fontId="27" fillId="9" borderId="41" xfId="0" applyFont="1" applyFill="1" applyBorder="1" applyAlignment="1">
      <alignment vertical="center"/>
    </xf>
    <xf numFmtId="0" fontId="27" fillId="9" borderId="39" xfId="0" applyFont="1" applyFill="1" applyBorder="1" applyAlignment="1">
      <alignment horizontal="center" vertical="center"/>
    </xf>
    <xf numFmtId="44" fontId="27" fillId="9" borderId="39" xfId="1" applyFont="1" applyFill="1" applyBorder="1" applyAlignment="1">
      <alignment horizontal="center" vertical="center"/>
    </xf>
    <xf numFmtId="44" fontId="27" fillId="9" borderId="40" xfId="1" applyFont="1" applyFill="1" applyBorder="1" applyAlignment="1">
      <alignment horizontal="center" vertical="center"/>
    </xf>
    <xf numFmtId="44" fontId="27" fillId="9" borderId="62" xfId="1" applyFont="1" applyFill="1" applyBorder="1" applyAlignment="1">
      <alignment horizontal="center" vertical="center"/>
    </xf>
    <xf numFmtId="0" fontId="21" fillId="9" borderId="38" xfId="0" applyFont="1" applyFill="1" applyBorder="1"/>
    <xf numFmtId="0" fontId="21" fillId="9" borderId="4" xfId="0" applyFont="1" applyFill="1" applyBorder="1"/>
    <xf numFmtId="39" fontId="21" fillId="9" borderId="4" xfId="0" applyNumberFormat="1" applyFont="1" applyFill="1" applyBorder="1" applyAlignment="1">
      <alignment wrapText="1"/>
    </xf>
    <xf numFmtId="0" fontId="21" fillId="9" borderId="53" xfId="0" applyFont="1" applyFill="1" applyBorder="1"/>
    <xf numFmtId="39" fontId="21" fillId="9" borderId="53" xfId="0" applyNumberFormat="1" applyFont="1" applyFill="1" applyBorder="1" applyAlignment="1">
      <alignment wrapText="1"/>
    </xf>
    <xf numFmtId="44" fontId="27" fillId="9" borderId="35" xfId="1" applyFont="1" applyFill="1" applyBorder="1" applyAlignment="1">
      <alignment vertical="center"/>
    </xf>
    <xf numFmtId="39" fontId="7" fillId="9" borderId="62" xfId="0" applyNumberFormat="1" applyFont="1" applyFill="1" applyBorder="1" applyAlignment="1">
      <alignment horizontal="center" wrapText="1"/>
    </xf>
    <xf numFmtId="0" fontId="6" fillId="9" borderId="0" xfId="18" applyFont="1" applyFill="1"/>
    <xf numFmtId="0" fontId="6" fillId="9" borderId="0" xfId="18" applyFont="1" applyFill="1" applyAlignment="1">
      <alignment wrapText="1"/>
    </xf>
    <xf numFmtId="0" fontId="2" fillId="9" borderId="38" xfId="0" applyFont="1" applyFill="1" applyBorder="1" applyAlignment="1">
      <alignment horizontal="center" vertical="center"/>
    </xf>
    <xf numFmtId="0" fontId="2" fillId="9" borderId="39" xfId="0" applyFont="1" applyFill="1" applyBorder="1" applyAlignment="1">
      <alignment horizontal="center" vertical="center" wrapText="1"/>
    </xf>
    <xf numFmtId="0" fontId="2" fillId="9" borderId="39" xfId="0" applyFont="1" applyFill="1" applyBorder="1" applyAlignment="1">
      <alignment horizontal="center" vertical="center"/>
    </xf>
    <xf numFmtId="4" fontId="2" fillId="9" borderId="40" xfId="1" applyNumberFormat="1" applyFont="1" applyFill="1" applyBorder="1" applyAlignment="1">
      <alignment horizontal="center" vertical="center"/>
    </xf>
    <xf numFmtId="165" fontId="6" fillId="9" borderId="4" xfId="0" applyNumberFormat="1" applyFont="1" applyFill="1" applyBorder="1" applyAlignment="1">
      <alignment horizontal="center" vertical="center"/>
    </xf>
    <xf numFmtId="0" fontId="6" fillId="9" borderId="4" xfId="18" applyFont="1" applyFill="1" applyBorder="1" applyAlignment="1">
      <alignment horizontal="center" vertical="center"/>
    </xf>
    <xf numFmtId="165" fontId="6" fillId="9" borderId="4" xfId="18" applyNumberFormat="1" applyFont="1" applyFill="1" applyBorder="1" applyAlignment="1">
      <alignment horizontal="center" vertical="center"/>
    </xf>
    <xf numFmtId="165" fontId="6" fillId="9" borderId="4" xfId="13" applyNumberFormat="1" applyFont="1" applyFill="1" applyBorder="1" applyAlignment="1">
      <alignment horizontal="center" vertical="center"/>
    </xf>
    <xf numFmtId="165" fontId="6" fillId="9" borderId="53" xfId="13" applyNumberFormat="1" applyFont="1" applyFill="1" applyBorder="1" applyAlignment="1">
      <alignment horizontal="center" vertical="center"/>
    </xf>
    <xf numFmtId="0" fontId="6" fillId="9" borderId="0" xfId="18" quotePrefix="1" applyFont="1" applyFill="1" applyAlignment="1">
      <alignment horizontal="center" vertical="center"/>
    </xf>
    <xf numFmtId="0" fontId="6" fillId="9" borderId="0" xfId="18" applyFont="1" applyFill="1" applyAlignment="1">
      <alignment horizontal="left" vertical="center" wrapText="1"/>
    </xf>
    <xf numFmtId="0" fontId="6" fillId="9" borderId="0" xfId="18" applyFont="1" applyFill="1" applyAlignment="1">
      <alignment horizontal="center" vertical="center"/>
    </xf>
    <xf numFmtId="3" fontId="6" fillId="9" borderId="0" xfId="18" applyNumberFormat="1" applyFont="1" applyFill="1" applyAlignment="1">
      <alignment vertical="center"/>
    </xf>
    <xf numFmtId="4" fontId="6" fillId="9" borderId="0" xfId="1" applyNumberFormat="1" applyFont="1" applyFill="1" applyAlignment="1">
      <alignment vertical="center"/>
    </xf>
    <xf numFmtId="4" fontId="2" fillId="9" borderId="35" xfId="1" applyNumberFormat="1" applyFont="1" applyFill="1" applyBorder="1" applyAlignment="1">
      <alignment vertical="center"/>
    </xf>
    <xf numFmtId="44" fontId="6" fillId="0" borderId="9" xfId="1" applyFont="1" applyBorder="1" applyAlignment="1">
      <alignment vertical="center"/>
    </xf>
    <xf numFmtId="0" fontId="2" fillId="6" borderId="39" xfId="0" applyFont="1" applyFill="1" applyBorder="1" applyAlignment="1">
      <alignment horizontal="left" vertical="center"/>
    </xf>
    <xf numFmtId="0" fontId="2" fillId="6" borderId="39" xfId="0" applyFont="1" applyFill="1" applyBorder="1" applyAlignment="1">
      <alignment horizontal="center" vertical="center"/>
    </xf>
    <xf numFmtId="0" fontId="7" fillId="6" borderId="39" xfId="0" applyFont="1" applyFill="1" applyBorder="1"/>
    <xf numFmtId="0" fontId="21" fillId="6" borderId="32" xfId="0" applyFont="1" applyFill="1" applyBorder="1"/>
    <xf numFmtId="0" fontId="21" fillId="6" borderId="54" xfId="0" applyFont="1" applyFill="1" applyBorder="1"/>
    <xf numFmtId="3" fontId="7" fillId="6" borderId="40" xfId="0" applyNumberFormat="1" applyFont="1" applyFill="1" applyBorder="1"/>
    <xf numFmtId="0" fontId="2" fillId="0" borderId="4" xfId="13" applyFont="1" applyBorder="1" applyAlignment="1">
      <alignment horizontal="center" vertical="center"/>
    </xf>
    <xf numFmtId="0" fontId="2" fillId="0" borderId="15" xfId="13" applyFont="1" applyBorder="1" applyAlignment="1">
      <alignment horizontal="center" vertical="center"/>
    </xf>
    <xf numFmtId="0" fontId="2" fillId="0" borderId="14" xfId="13" applyFont="1" applyBorder="1" applyAlignment="1">
      <alignment horizontal="center" vertical="center"/>
    </xf>
    <xf numFmtId="0" fontId="2" fillId="0" borderId="27" xfId="13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13" applyFont="1" applyBorder="1" applyAlignment="1">
      <alignment horizontal="center"/>
    </xf>
    <xf numFmtId="0" fontId="2" fillId="0" borderId="29" xfId="13" applyFont="1" applyBorder="1" applyAlignment="1">
      <alignment horizontal="center"/>
    </xf>
    <xf numFmtId="0" fontId="2" fillId="0" borderId="4" xfId="13" applyFont="1" applyBorder="1" applyAlignment="1">
      <alignment horizontal="center" vertical="center" wrapText="1"/>
    </xf>
    <xf numFmtId="0" fontId="2" fillId="0" borderId="27" xfId="13" applyFont="1" applyBorder="1" applyAlignment="1">
      <alignment horizontal="center" vertical="center"/>
    </xf>
    <xf numFmtId="0" fontId="2" fillId="0" borderId="28" xfId="13" applyFont="1" applyBorder="1" applyAlignment="1">
      <alignment horizontal="center" vertical="center"/>
    </xf>
    <xf numFmtId="0" fontId="2" fillId="0" borderId="29" xfId="13" applyFont="1" applyBorder="1" applyAlignment="1">
      <alignment horizontal="center" vertical="center"/>
    </xf>
    <xf numFmtId="0" fontId="2" fillId="0" borderId="4" xfId="13" applyFont="1" applyBorder="1" applyAlignment="1">
      <alignment horizontal="center" vertical="center"/>
    </xf>
    <xf numFmtId="39" fontId="2" fillId="6" borderId="4" xfId="0" applyNumberFormat="1" applyFont="1" applyFill="1" applyBorder="1" applyAlignment="1">
      <alignment horizontal="left" vertical="center"/>
    </xf>
    <xf numFmtId="39" fontId="7" fillId="6" borderId="4" xfId="0" applyNumberFormat="1" applyFont="1" applyFill="1" applyBorder="1" applyAlignment="1">
      <alignment horizontal="center"/>
    </xf>
    <xf numFmtId="44" fontId="7" fillId="6" borderId="4" xfId="0" applyNumberFormat="1" applyFont="1" applyFill="1" applyBorder="1"/>
    <xf numFmtId="3" fontId="7" fillId="6" borderId="32" xfId="0" applyNumberFormat="1" applyFont="1" applyFill="1" applyBorder="1"/>
    <xf numFmtId="39" fontId="6" fillId="6" borderId="4" xfId="0" applyNumberFormat="1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44" fontId="7" fillId="6" borderId="20" xfId="0" applyNumberFormat="1" applyFont="1" applyFill="1" applyBorder="1"/>
    <xf numFmtId="0" fontId="6" fillId="6" borderId="4" xfId="0" applyFont="1" applyFill="1" applyBorder="1" applyAlignment="1">
      <alignment horizontal="left"/>
    </xf>
    <xf numFmtId="39" fontId="6" fillId="6" borderId="4" xfId="0" applyNumberFormat="1" applyFont="1" applyFill="1" applyBorder="1" applyAlignment="1">
      <alignment horizontal="center"/>
    </xf>
    <xf numFmtId="44" fontId="6" fillId="6" borderId="4" xfId="0" applyNumberFormat="1" applyFont="1" applyFill="1" applyBorder="1" applyAlignment="1">
      <alignment horizontal="center"/>
    </xf>
    <xf numFmtId="170" fontId="6" fillId="6" borderId="4" xfId="0" applyNumberFormat="1" applyFont="1" applyFill="1" applyBorder="1" applyAlignment="1">
      <alignment horizontal="center"/>
    </xf>
    <xf numFmtId="44" fontId="6" fillId="6" borderId="32" xfId="0" applyNumberFormat="1" applyFont="1" applyFill="1" applyBorder="1" applyAlignment="1">
      <alignment horizontal="center"/>
    </xf>
    <xf numFmtId="0" fontId="6" fillId="6" borderId="53" xfId="0" applyFont="1" applyFill="1" applyBorder="1" applyAlignment="1">
      <alignment horizontal="left"/>
    </xf>
    <xf numFmtId="39" fontId="6" fillId="6" borderId="53" xfId="0" applyNumberFormat="1" applyFont="1" applyFill="1" applyBorder="1" applyAlignment="1">
      <alignment horizontal="center"/>
    </xf>
    <xf numFmtId="44" fontId="6" fillId="6" borderId="53" xfId="0" applyNumberFormat="1" applyFont="1" applyFill="1" applyBorder="1" applyAlignment="1">
      <alignment horizontal="center"/>
    </xf>
    <xf numFmtId="44" fontId="6" fillId="6" borderId="54" xfId="0" applyNumberFormat="1" applyFont="1" applyFill="1" applyBorder="1" applyAlignment="1">
      <alignment horizontal="center"/>
    </xf>
    <xf numFmtId="0" fontId="2" fillId="9" borderId="5" xfId="0" applyNumberFormat="1" applyFont="1" applyFill="1" applyBorder="1" applyAlignment="1">
      <alignment horizontal="center" vertical="center"/>
    </xf>
    <xf numFmtId="0" fontId="6" fillId="9" borderId="4" xfId="13" applyFont="1" applyFill="1" applyBorder="1" applyAlignment="1">
      <alignment horizontal="center" vertical="center"/>
    </xf>
    <xf numFmtId="39" fontId="2" fillId="0" borderId="0" xfId="0" applyNumberFormat="1" applyFont="1" applyFill="1" applyBorder="1" applyAlignment="1">
      <alignment horizontal="left" vertical="center"/>
    </xf>
    <xf numFmtId="39" fontId="2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39" fontId="2" fillId="6" borderId="4" xfId="0" applyNumberFormat="1" applyFont="1" applyFill="1" applyBorder="1" applyAlignment="1">
      <alignment horizontal="left" vertical="center" wrapText="1"/>
    </xf>
    <xf numFmtId="44" fontId="2" fillId="6" borderId="4" xfId="0" applyNumberFormat="1" applyFont="1" applyFill="1" applyBorder="1" applyAlignment="1">
      <alignment horizontal="center" vertical="center"/>
    </xf>
    <xf numFmtId="37" fontId="21" fillId="6" borderId="4" xfId="0" applyNumberFormat="1" applyFont="1" applyFill="1" applyBorder="1" applyAlignment="1">
      <alignment horizontal="left"/>
    </xf>
    <xf numFmtId="37" fontId="6" fillId="6" borderId="4" xfId="0" applyNumberFormat="1" applyFont="1" applyFill="1" applyBorder="1" applyAlignment="1">
      <alignment horizontal="left" vertical="center"/>
    </xf>
    <xf numFmtId="179" fontId="6" fillId="6" borderId="4" xfId="0" applyNumberFormat="1" applyFont="1" applyFill="1" applyBorder="1" applyAlignment="1">
      <alignment horizontal="center" vertical="center"/>
    </xf>
    <xf numFmtId="37" fontId="6" fillId="6" borderId="4" xfId="0" applyNumberFormat="1" applyFont="1" applyFill="1" applyBorder="1" applyAlignment="1">
      <alignment horizontal="center" vertical="center"/>
    </xf>
    <xf numFmtId="44" fontId="2" fillId="6" borderId="32" xfId="1" applyFont="1" applyFill="1" applyBorder="1"/>
    <xf numFmtId="44" fontId="2" fillId="6" borderId="32" xfId="0" applyNumberFormat="1" applyFont="1" applyFill="1" applyBorder="1" applyAlignment="1">
      <alignment horizontal="left" vertical="center"/>
    </xf>
    <xf numFmtId="37" fontId="6" fillId="6" borderId="53" xfId="0" applyNumberFormat="1" applyFont="1" applyFill="1" applyBorder="1" applyAlignment="1">
      <alignment horizontal="left" vertical="center"/>
    </xf>
    <xf numFmtId="37" fontId="6" fillId="6" borderId="53" xfId="0" applyNumberFormat="1" applyFont="1" applyFill="1" applyBorder="1" applyAlignment="1">
      <alignment horizontal="center" vertical="center"/>
    </xf>
    <xf numFmtId="37" fontId="6" fillId="6" borderId="4" xfId="0" applyNumberFormat="1" applyFont="1" applyFill="1" applyBorder="1" applyAlignment="1">
      <alignment horizontal="left" vertical="center" wrapText="1"/>
    </xf>
    <xf numFmtId="0" fontId="21" fillId="0" borderId="0" xfId="0" applyFont="1" applyBorder="1"/>
    <xf numFmtId="0" fontId="7" fillId="9" borderId="31" xfId="0" applyFont="1" applyFill="1" applyBorder="1" applyAlignment="1">
      <alignment horizontal="center"/>
    </xf>
    <xf numFmtId="0" fontId="21" fillId="9" borderId="31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 wrapText="1"/>
    </xf>
    <xf numFmtId="0" fontId="7" fillId="9" borderId="4" xfId="0" applyFont="1" applyFill="1" applyBorder="1" applyAlignment="1">
      <alignment horizontal="center"/>
    </xf>
    <xf numFmtId="4" fontId="7" fillId="9" borderId="32" xfId="0" applyNumberFormat="1" applyFont="1" applyFill="1" applyBorder="1" applyAlignment="1">
      <alignment horizontal="center"/>
    </xf>
    <xf numFmtId="0" fontId="7" fillId="9" borderId="40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44" fontId="2" fillId="9" borderId="39" xfId="1" applyFont="1" applyFill="1" applyBorder="1" applyAlignment="1">
      <alignment horizontal="center" vertical="center"/>
    </xf>
    <xf numFmtId="0" fontId="6" fillId="9" borderId="31" xfId="26" applyFont="1" applyFill="1" applyBorder="1" applyAlignment="1">
      <alignment horizontal="center"/>
    </xf>
    <xf numFmtId="0" fontId="6" fillId="9" borderId="4" xfId="26" applyFont="1" applyFill="1" applyBorder="1" applyAlignment="1">
      <alignment horizontal="center"/>
    </xf>
    <xf numFmtId="4" fontId="6" fillId="9" borderId="4" xfId="26" applyNumberFormat="1" applyFont="1" applyFill="1" applyBorder="1" applyAlignment="1">
      <alignment horizontal="center"/>
    </xf>
    <xf numFmtId="2" fontId="6" fillId="9" borderId="4" xfId="0" applyNumberFormat="1" applyFont="1" applyFill="1" applyBorder="1" applyAlignment="1">
      <alignment horizontal="center" vertical="center"/>
    </xf>
    <xf numFmtId="0" fontId="6" fillId="9" borderId="15" xfId="13" applyFont="1" applyFill="1" applyBorder="1" applyAlignment="1">
      <alignment horizontal="center"/>
    </xf>
    <xf numFmtId="4" fontId="6" fillId="9" borderId="15" xfId="13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0" xfId="18" applyFont="1" applyFill="1" applyBorder="1" applyAlignment="1">
      <alignment vertical="center" wrapText="1"/>
    </xf>
    <xf numFmtId="0" fontId="6" fillId="0" borderId="0" xfId="18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165" fontId="6" fillId="0" borderId="0" xfId="18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18" applyFont="1" applyFill="1" applyBorder="1" applyAlignment="1">
      <alignment wrapText="1"/>
    </xf>
    <xf numFmtId="4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/>
    <xf numFmtId="0" fontId="2" fillId="0" borderId="0" xfId="1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13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18" applyFont="1" applyFill="1" applyBorder="1"/>
    <xf numFmtId="0" fontId="6" fillId="0" borderId="0" xfId="0" applyFont="1" applyFill="1" applyBorder="1" applyAlignment="1">
      <alignment horizontal="left" vertical="center" wrapText="1"/>
    </xf>
    <xf numFmtId="165" fontId="6" fillId="0" borderId="0" xfId="13" applyNumberFormat="1" applyFont="1" applyFill="1" applyBorder="1" applyAlignment="1">
      <alignment horizontal="center" vertical="center"/>
    </xf>
    <xf numFmtId="0" fontId="6" fillId="0" borderId="0" xfId="13" applyFont="1" applyFill="1" applyBorder="1" applyAlignment="1">
      <alignment vertical="center" wrapText="1"/>
    </xf>
    <xf numFmtId="0" fontId="6" fillId="0" borderId="0" xfId="13" applyFont="1" applyFill="1" applyBorder="1" applyAlignment="1">
      <alignment horizontal="left" vertical="center" wrapText="1"/>
    </xf>
    <xf numFmtId="0" fontId="6" fillId="0" borderId="0" xfId="18" quotePrefix="1" applyFont="1" applyFill="1" applyBorder="1" applyAlignment="1">
      <alignment horizontal="center" vertical="center"/>
    </xf>
    <xf numFmtId="0" fontId="6" fillId="0" borderId="0" xfId="18" applyFont="1" applyFill="1" applyBorder="1" applyAlignment="1">
      <alignment horizontal="left" vertical="center" wrapText="1"/>
    </xf>
    <xf numFmtId="3" fontId="6" fillId="0" borderId="0" xfId="18" applyNumberFormat="1" applyFont="1" applyFill="1" applyBorder="1" applyAlignment="1">
      <alignment vertical="center"/>
    </xf>
    <xf numFmtId="0" fontId="0" fillId="0" borderId="0" xfId="0" applyFill="1" applyBorder="1"/>
    <xf numFmtId="44" fontId="0" fillId="0" borderId="0" xfId="1" applyFont="1" applyFill="1" applyBorder="1"/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44" fontId="27" fillId="0" borderId="0" xfId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4" fontId="4" fillId="0" borderId="0" xfId="26" applyNumberFormat="1" applyFont="1" applyFill="1" applyBorder="1" applyAlignment="1">
      <alignment horizontal="center"/>
    </xf>
    <xf numFmtId="44" fontId="4" fillId="0" borderId="0" xfId="1" applyFont="1" applyFill="1" applyBorder="1"/>
    <xf numFmtId="0" fontId="4" fillId="0" borderId="0" xfId="0" applyFont="1" applyFill="1" applyBorder="1"/>
    <xf numFmtId="0" fontId="4" fillId="0" borderId="0" xfId="26" applyFont="1" applyFill="1" applyBorder="1"/>
    <xf numFmtId="4" fontId="4" fillId="0" borderId="0" xfId="0" applyNumberFormat="1" applyFont="1" applyFill="1" applyBorder="1" applyAlignment="1">
      <alignment horizontal="center"/>
    </xf>
    <xf numFmtId="44" fontId="27" fillId="0" borderId="0" xfId="1" applyFont="1" applyFill="1" applyBorder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2" fillId="9" borderId="1" xfId="13" applyFont="1" applyFill="1" applyBorder="1" applyAlignment="1">
      <alignment horizontal="center"/>
    </xf>
    <xf numFmtId="0" fontId="2" fillId="9" borderId="3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2" fontId="6" fillId="0" borderId="0" xfId="13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2" fontId="2" fillId="0" borderId="0" xfId="13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 vertical="center" wrapText="1"/>
    </xf>
    <xf numFmtId="176" fontId="6" fillId="0" borderId="0" xfId="13" applyNumberFormat="1" applyFont="1" applyFill="1" applyBorder="1" applyAlignment="1">
      <alignment horizontal="center" vertical="center"/>
    </xf>
    <xf numFmtId="0" fontId="6" fillId="0" borderId="28" xfId="13" applyFont="1" applyBorder="1"/>
    <xf numFmtId="0" fontId="6" fillId="0" borderId="29" xfId="13" applyFont="1" applyBorder="1"/>
    <xf numFmtId="0" fontId="2" fillId="9" borderId="1" xfId="0" applyFont="1" applyFill="1" applyBorder="1" applyAlignment="1"/>
    <xf numFmtId="0" fontId="6" fillId="0" borderId="0" xfId="0" applyNumberFormat="1" applyFont="1" applyFill="1"/>
    <xf numFmtId="0" fontId="2" fillId="0" borderId="48" xfId="13" applyFont="1" applyBorder="1" applyAlignment="1">
      <alignment horizontal="center"/>
    </xf>
    <xf numFmtId="44" fontId="7" fillId="6" borderId="39" xfId="0" applyNumberFormat="1" applyFont="1" applyFill="1" applyBorder="1" applyAlignment="1">
      <alignment horizontal="center"/>
    </xf>
    <xf numFmtId="44" fontId="21" fillId="6" borderId="4" xfId="0" applyNumberFormat="1" applyFont="1" applyFill="1" applyBorder="1" applyAlignment="1">
      <alignment horizontal="center"/>
    </xf>
    <xf numFmtId="44" fontId="21" fillId="6" borderId="53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horizontal="left" vertical="center" wrapText="1"/>
    </xf>
    <xf numFmtId="0" fontId="6" fillId="6" borderId="39" xfId="18" applyFont="1" applyFill="1" applyBorder="1" applyAlignment="1">
      <alignment horizontal="center" vertical="center" wrapText="1"/>
    </xf>
    <xf numFmtId="0" fontId="6" fillId="6" borderId="39" xfId="18" applyFont="1" applyFill="1" applyBorder="1" applyAlignment="1">
      <alignment horizontal="center" vertical="center"/>
    </xf>
    <xf numFmtId="0" fontId="6" fillId="6" borderId="39" xfId="18" applyNumberFormat="1" applyFont="1" applyFill="1" applyBorder="1" applyAlignment="1">
      <alignment vertical="center"/>
    </xf>
    <xf numFmtId="184" fontId="34" fillId="6" borderId="40" xfId="1" applyNumberFormat="1" applyFont="1" applyFill="1" applyBorder="1" applyAlignment="1">
      <alignment vertical="center"/>
    </xf>
    <xf numFmtId="0" fontId="6" fillId="6" borderId="4" xfId="18" applyFont="1" applyFill="1" applyBorder="1" applyAlignment="1">
      <alignment vertical="center"/>
    </xf>
    <xf numFmtId="0" fontId="6" fillId="6" borderId="4" xfId="18" applyFont="1" applyFill="1" applyBorder="1" applyAlignment="1">
      <alignment horizontal="center" vertical="center" wrapText="1"/>
    </xf>
    <xf numFmtId="0" fontId="6" fillId="6" borderId="4" xfId="18" applyFont="1" applyFill="1" applyBorder="1" applyAlignment="1">
      <alignment horizontal="center" vertical="center"/>
    </xf>
    <xf numFmtId="44" fontId="6" fillId="6" borderId="4" xfId="18" applyNumberFormat="1" applyFont="1" applyFill="1" applyBorder="1" applyAlignment="1">
      <alignment vertical="center"/>
    </xf>
    <xf numFmtId="184" fontId="6" fillId="6" borderId="32" xfId="1" applyNumberFormat="1" applyFont="1" applyFill="1" applyBorder="1" applyAlignment="1">
      <alignment vertical="center"/>
    </xf>
    <xf numFmtId="0" fontId="6" fillId="6" borderId="53" xfId="18" applyFont="1" applyFill="1" applyBorder="1" applyAlignment="1">
      <alignment vertical="center"/>
    </xf>
    <xf numFmtId="0" fontId="6" fillId="6" borderId="53" xfId="18" applyFont="1" applyFill="1" applyBorder="1" applyAlignment="1">
      <alignment horizontal="center" vertical="center" wrapText="1"/>
    </xf>
    <xf numFmtId="0" fontId="6" fillId="6" borderId="53" xfId="18" applyFont="1" applyFill="1" applyBorder="1" applyAlignment="1">
      <alignment horizontal="center" vertical="center"/>
    </xf>
    <xf numFmtId="44" fontId="6" fillId="6" borderId="53" xfId="18" applyNumberFormat="1" applyFont="1" applyFill="1" applyBorder="1" applyAlignment="1">
      <alignment vertical="center"/>
    </xf>
    <xf numFmtId="184" fontId="6" fillId="6" borderId="54" xfId="1" applyNumberFormat="1" applyFont="1" applyFill="1" applyBorder="1" applyAlignment="1">
      <alignment vertical="center"/>
    </xf>
    <xf numFmtId="2" fontId="2" fillId="0" borderId="4" xfId="0" applyNumberFormat="1" applyFont="1" applyBorder="1" applyAlignment="1">
      <alignment horizontal="center"/>
    </xf>
    <xf numFmtId="0" fontId="2" fillId="6" borderId="39" xfId="18" applyFont="1" applyFill="1" applyBorder="1" applyAlignment="1">
      <alignment vertical="center"/>
    </xf>
    <xf numFmtId="44" fontId="21" fillId="6" borderId="4" xfId="1" applyFont="1" applyFill="1" applyBorder="1"/>
    <xf numFmtId="44" fontId="7" fillId="6" borderId="40" xfId="1" applyFont="1" applyFill="1" applyBorder="1"/>
    <xf numFmtId="0" fontId="6" fillId="6" borderId="4" xfId="0" applyFont="1" applyFill="1" applyBorder="1" applyAlignment="1">
      <alignment wrapText="1"/>
    </xf>
    <xf numFmtId="0" fontId="6" fillId="6" borderId="4" xfId="0" applyFont="1" applyFill="1" applyBorder="1" applyAlignment="1">
      <alignment vertical="center" wrapText="1"/>
    </xf>
    <xf numFmtId="39" fontId="21" fillId="6" borderId="29" xfId="0" applyNumberFormat="1" applyFont="1" applyFill="1" applyBorder="1" applyAlignment="1">
      <alignment horizontal="left"/>
    </xf>
    <xf numFmtId="39" fontId="21" fillId="6" borderId="61" xfId="0" applyNumberFormat="1" applyFont="1" applyFill="1" applyBorder="1" applyAlignment="1">
      <alignment horizontal="left"/>
    </xf>
    <xf numFmtId="39" fontId="7" fillId="6" borderId="42" xfId="0" applyNumberFormat="1" applyFont="1" applyFill="1" applyBorder="1" applyAlignment="1">
      <alignment horizontal="left"/>
    </xf>
    <xf numFmtId="0" fontId="25" fillId="0" borderId="0" xfId="0" applyFont="1" applyFill="1" applyAlignment="1">
      <alignment vertical="center" wrapText="1"/>
    </xf>
    <xf numFmtId="0" fontId="6" fillId="6" borderId="4" xfId="13" applyFont="1" applyFill="1" applyBorder="1" applyAlignment="1">
      <alignment vertical="center" wrapText="1"/>
    </xf>
    <xf numFmtId="0" fontId="6" fillId="6" borderId="4" xfId="18" applyFont="1" applyFill="1" applyBorder="1" applyAlignment="1">
      <alignment vertical="center" wrapText="1"/>
    </xf>
    <xf numFmtId="4" fontId="6" fillId="6" borderId="4" xfId="0" applyNumberFormat="1" applyFont="1" applyFill="1" applyBorder="1" applyAlignment="1">
      <alignment wrapText="1"/>
    </xf>
    <xf numFmtId="44" fontId="6" fillId="6" borderId="32" xfId="0" applyNumberFormat="1" applyFont="1" applyFill="1" applyBorder="1" applyAlignment="1">
      <alignment horizontal="left" vertical="center"/>
    </xf>
    <xf numFmtId="0" fontId="0" fillId="0" borderId="0" xfId="0" applyFill="1"/>
    <xf numFmtId="0" fontId="6" fillId="6" borderId="55" xfId="0" applyFont="1" applyFill="1" applyBorder="1" applyAlignment="1">
      <alignment vertical="center"/>
    </xf>
    <xf numFmtId="39" fontId="6" fillId="6" borderId="53" xfId="0" applyNumberFormat="1" applyFont="1" applyFill="1" applyBorder="1" applyAlignment="1">
      <alignment vertical="center"/>
    </xf>
    <xf numFmtId="39" fontId="6" fillId="6" borderId="53" xfId="0" applyNumberFormat="1" applyFont="1" applyFill="1" applyBorder="1" applyAlignment="1">
      <alignment horizontal="center" vertical="center" wrapText="1"/>
    </xf>
    <xf numFmtId="44" fontId="6" fillId="6" borderId="53" xfId="0" applyNumberFormat="1" applyFont="1" applyFill="1" applyBorder="1" applyAlignment="1">
      <alignment vertical="center"/>
    </xf>
    <xf numFmtId="39" fontId="6" fillId="6" borderId="53" xfId="1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vertical="center" wrapText="1"/>
    </xf>
    <xf numFmtId="0" fontId="6" fillId="6" borderId="39" xfId="0" applyFont="1" applyFill="1" applyBorder="1" applyAlignment="1">
      <alignment vertical="center" wrapText="1"/>
    </xf>
    <xf numFmtId="4" fontId="6" fillId="6" borderId="4" xfId="0" applyNumberFormat="1" applyFont="1" applyFill="1" applyBorder="1" applyAlignment="1">
      <alignment vertical="center" wrapText="1"/>
    </xf>
    <xf numFmtId="4" fontId="6" fillId="9" borderId="4" xfId="13" applyNumberFormat="1" applyFont="1" applyFill="1" applyBorder="1" applyAlignment="1">
      <alignment horizontal="center" vertical="center"/>
    </xf>
    <xf numFmtId="4" fontId="6" fillId="9" borderId="4" xfId="18" applyNumberFormat="1" applyFont="1" applyFill="1" applyBorder="1" applyAlignment="1">
      <alignment horizontal="center" vertical="center"/>
    </xf>
    <xf numFmtId="0" fontId="6" fillId="9" borderId="39" xfId="18" applyFont="1" applyFill="1" applyBorder="1" applyAlignment="1">
      <alignment horizontal="center" vertical="center"/>
    </xf>
    <xf numFmtId="4" fontId="6" fillId="9" borderId="39" xfId="18" applyNumberFormat="1" applyFont="1" applyFill="1" applyBorder="1" applyAlignment="1">
      <alignment horizontal="center" vertical="center"/>
    </xf>
    <xf numFmtId="0" fontId="6" fillId="9" borderId="36" xfId="18" applyFont="1" applyFill="1" applyBorder="1" applyAlignment="1">
      <alignment horizontal="center"/>
    </xf>
    <xf numFmtId="0" fontId="6" fillId="6" borderId="14" xfId="0" applyFont="1" applyFill="1" applyBorder="1" applyAlignment="1">
      <alignment vertical="center" wrapText="1"/>
    </xf>
    <xf numFmtId="0" fontId="6" fillId="9" borderId="14" xfId="18" applyFont="1" applyFill="1" applyBorder="1" applyAlignment="1">
      <alignment horizontal="center" vertical="center"/>
    </xf>
    <xf numFmtId="4" fontId="6" fillId="9" borderId="14" xfId="18" applyNumberFormat="1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185" fontId="6" fillId="9" borderId="4" xfId="18" applyNumberFormat="1" applyFont="1" applyFill="1" applyBorder="1" applyAlignment="1">
      <alignment horizontal="center" vertical="center"/>
    </xf>
    <xf numFmtId="39" fontId="6" fillId="9" borderId="4" xfId="0" applyNumberFormat="1" applyFont="1" applyFill="1" applyBorder="1" applyAlignment="1">
      <alignment horizontal="center" vertical="center"/>
    </xf>
    <xf numFmtId="39" fontId="6" fillId="9" borderId="53" xfId="0" applyNumberFormat="1" applyFont="1" applyFill="1" applyBorder="1" applyAlignment="1">
      <alignment horizontal="center"/>
    </xf>
    <xf numFmtId="2" fontId="6" fillId="6" borderId="4" xfId="18" applyNumberFormat="1" applyFont="1" applyFill="1" applyBorder="1" applyAlignment="1">
      <alignment horizontal="center" vertical="center"/>
    </xf>
    <xf numFmtId="0" fontId="6" fillId="6" borderId="4" xfId="13" applyFont="1" applyFill="1" applyBorder="1" applyAlignment="1">
      <alignment horizontal="left" vertical="center" wrapText="1"/>
    </xf>
    <xf numFmtId="0" fontId="6" fillId="6" borderId="53" xfId="13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wrapText="1"/>
    </xf>
    <xf numFmtId="39" fontId="21" fillId="9" borderId="4" xfId="0" applyNumberFormat="1" applyFont="1" applyFill="1" applyBorder="1" applyAlignment="1">
      <alignment horizontal="center"/>
    </xf>
    <xf numFmtId="170" fontId="21" fillId="9" borderId="4" xfId="0" applyNumberFormat="1" applyFont="1" applyFill="1" applyBorder="1" applyAlignment="1">
      <alignment horizontal="center"/>
    </xf>
    <xf numFmtId="177" fontId="6" fillId="6" borderId="4" xfId="0" applyNumberFormat="1" applyFont="1" applyFill="1" applyBorder="1" applyAlignment="1">
      <alignment horizontal="center"/>
    </xf>
    <xf numFmtId="179" fontId="21" fillId="6" borderId="4" xfId="0" applyNumberFormat="1" applyFont="1" applyFill="1" applyBorder="1" applyAlignment="1">
      <alignment horizontal="center"/>
    </xf>
    <xf numFmtId="177" fontId="21" fillId="6" borderId="4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6" fillId="9" borderId="15" xfId="13" applyFont="1" applyFill="1" applyBorder="1" applyAlignment="1">
      <alignment horizontal="center" vertical="center"/>
    </xf>
    <xf numFmtId="0" fontId="6" fillId="9" borderId="4" xfId="0" applyFont="1" applyFill="1" applyBorder="1"/>
    <xf numFmtId="0" fontId="6" fillId="9" borderId="4" xfId="0" applyFont="1" applyFill="1" applyBorder="1" applyAlignment="1">
      <alignment wrapText="1"/>
    </xf>
    <xf numFmtId="4" fontId="6" fillId="9" borderId="4" xfId="1" applyNumberFormat="1" applyFont="1" applyFill="1" applyBorder="1"/>
    <xf numFmtId="0" fontId="21" fillId="9" borderId="4" xfId="0" applyFont="1" applyFill="1" applyBorder="1" applyAlignment="1">
      <alignment horizontal="center"/>
    </xf>
    <xf numFmtId="0" fontId="21" fillId="6" borderId="4" xfId="0" applyFont="1" applyFill="1" applyBorder="1" applyAlignment="1">
      <alignment wrapText="1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6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9" borderId="1" xfId="13" applyFont="1" applyFill="1" applyBorder="1" applyAlignment="1">
      <alignment horizontal="center"/>
    </xf>
    <xf numFmtId="39" fontId="6" fillId="6" borderId="4" xfId="0" applyNumberFormat="1" applyFont="1" applyFill="1" applyBorder="1" applyAlignment="1">
      <alignment wrapText="1"/>
    </xf>
    <xf numFmtId="39" fontId="21" fillId="6" borderId="39" xfId="0" applyNumberFormat="1" applyFont="1" applyFill="1" applyBorder="1" applyAlignment="1">
      <alignment horizontal="center"/>
    </xf>
    <xf numFmtId="0" fontId="7" fillId="7" borderId="34" xfId="0" applyFont="1" applyFill="1" applyBorder="1" applyAlignment="1">
      <alignment horizontal="center"/>
    </xf>
    <xf numFmtId="0" fontId="7" fillId="6" borderId="39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169" fontId="21" fillId="6" borderId="4" xfId="0" applyNumberFormat="1" applyFont="1" applyFill="1" applyBorder="1" applyAlignment="1">
      <alignment horizontal="center"/>
    </xf>
    <xf numFmtId="167" fontId="7" fillId="6" borderId="4" xfId="0" applyNumberFormat="1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 vertical="center"/>
    </xf>
    <xf numFmtId="39" fontId="2" fillId="6" borderId="4" xfId="0" applyNumberFormat="1" applyFont="1" applyFill="1" applyBorder="1" applyAlignment="1">
      <alignment horizontal="center" vertical="center"/>
    </xf>
    <xf numFmtId="9" fontId="21" fillId="6" borderId="53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39" fontId="7" fillId="6" borderId="39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" fillId="7" borderId="58" xfId="0" applyFont="1" applyFill="1" applyBorder="1" applyAlignment="1">
      <alignment horizontal="center" vertical="center"/>
    </xf>
    <xf numFmtId="4" fontId="2" fillId="7" borderId="34" xfId="1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4" fontId="21" fillId="6" borderId="39" xfId="0" applyNumberFormat="1" applyFont="1" applyFill="1" applyBorder="1" applyAlignment="1">
      <alignment horizontal="center"/>
    </xf>
    <xf numFmtId="4" fontId="2" fillId="7" borderId="34" xfId="1" applyNumberFormat="1" applyFont="1" applyFill="1" applyBorder="1" applyAlignment="1">
      <alignment horizontal="center"/>
    </xf>
    <xf numFmtId="39" fontId="34" fillId="6" borderId="14" xfId="0" applyNumberFormat="1" applyFont="1" applyFill="1" applyBorder="1" applyAlignment="1">
      <alignment horizontal="center" vertical="center"/>
    </xf>
    <xf numFmtId="4" fontId="7" fillId="7" borderId="34" xfId="0" applyNumberFormat="1" applyFont="1" applyFill="1" applyBorder="1" applyAlignment="1">
      <alignment horizontal="center"/>
    </xf>
    <xf numFmtId="4" fontId="2" fillId="7" borderId="5" xfId="1" applyNumberFormat="1" applyFont="1" applyFill="1" applyBorder="1" applyAlignment="1">
      <alignment horizontal="center"/>
    </xf>
    <xf numFmtId="39" fontId="2" fillId="6" borderId="39" xfId="1" applyNumberFormat="1" applyFont="1" applyFill="1" applyBorder="1" applyAlignment="1">
      <alignment horizontal="center"/>
    </xf>
    <xf numFmtId="170" fontId="21" fillId="6" borderId="4" xfId="0" applyNumberFormat="1" applyFont="1" applyFill="1" applyBorder="1" applyAlignment="1">
      <alignment horizontal="center"/>
    </xf>
    <xf numFmtId="39" fontId="21" fillId="6" borderId="53" xfId="0" applyNumberFormat="1" applyFont="1" applyFill="1" applyBorder="1" applyAlignment="1">
      <alignment horizontal="center"/>
    </xf>
    <xf numFmtId="176" fontId="21" fillId="6" borderId="4" xfId="0" applyNumberFormat="1" applyFont="1" applyFill="1" applyBorder="1" applyAlignment="1">
      <alignment horizontal="center"/>
    </xf>
    <xf numFmtId="175" fontId="21" fillId="6" borderId="4" xfId="0" applyNumberFormat="1" applyFont="1" applyFill="1" applyBorder="1" applyAlignment="1">
      <alignment horizontal="center"/>
    </xf>
    <xf numFmtId="170" fontId="21" fillId="6" borderId="53" xfId="0" applyNumberFormat="1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 vertical="center"/>
    </xf>
    <xf numFmtId="4" fontId="21" fillId="6" borderId="53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 vertical="center"/>
    </xf>
    <xf numFmtId="178" fontId="21" fillId="6" borderId="4" xfId="0" applyNumberFormat="1" applyFont="1" applyFill="1" applyBorder="1" applyAlignment="1">
      <alignment horizontal="center"/>
    </xf>
    <xf numFmtId="39" fontId="7" fillId="0" borderId="0" xfId="0" applyNumberFormat="1" applyFont="1" applyFill="1" applyBorder="1" applyAlignment="1">
      <alignment horizontal="center"/>
    </xf>
    <xf numFmtId="3" fontId="7" fillId="6" borderId="39" xfId="0" applyNumberFormat="1" applyFont="1" applyFill="1" applyBorder="1" applyAlignment="1">
      <alignment horizontal="center"/>
    </xf>
    <xf numFmtId="178" fontId="6" fillId="6" borderId="4" xfId="0" applyNumberFormat="1" applyFont="1" applyFill="1" applyBorder="1" applyAlignment="1">
      <alignment horizontal="center" vertical="center"/>
    </xf>
    <xf numFmtId="39" fontId="7" fillId="6" borderId="39" xfId="0" applyNumberFormat="1" applyFont="1" applyFill="1" applyBorder="1" applyAlignment="1">
      <alignment horizontal="left" wrapText="1"/>
    </xf>
    <xf numFmtId="177" fontId="6" fillId="6" borderId="4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66" xfId="0" applyFont="1" applyFill="1" applyBorder="1" applyAlignment="1">
      <alignment horizontal="left" vertical="center"/>
    </xf>
    <xf numFmtId="0" fontId="6" fillId="9" borderId="45" xfId="26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 vertical="center"/>
    </xf>
    <xf numFmtId="4" fontId="2" fillId="9" borderId="21" xfId="1" applyNumberFormat="1" applyFont="1" applyFill="1" applyBorder="1" applyAlignment="1">
      <alignment vertical="center"/>
    </xf>
    <xf numFmtId="44" fontId="6" fillId="9" borderId="4" xfId="1" applyFont="1" applyFill="1" applyBorder="1" applyAlignment="1">
      <alignment vertical="center"/>
    </xf>
    <xf numFmtId="2" fontId="6" fillId="9" borderId="4" xfId="13" applyNumberFormat="1" applyFont="1" applyFill="1" applyBorder="1"/>
    <xf numFmtId="0" fontId="6" fillId="9" borderId="45" xfId="18" applyFont="1" applyFill="1" applyBorder="1" applyAlignment="1">
      <alignment horizontal="center"/>
    </xf>
    <xf numFmtId="4" fontId="6" fillId="9" borderId="15" xfId="13" applyNumberFormat="1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vertical="center" wrapText="1"/>
    </xf>
    <xf numFmtId="0" fontId="7" fillId="9" borderId="45" xfId="0" applyFont="1" applyFill="1" applyBorder="1" applyAlignment="1">
      <alignment horizontal="center"/>
    </xf>
    <xf numFmtId="0" fontId="27" fillId="9" borderId="68" xfId="0" applyFont="1" applyFill="1" applyBorder="1" applyAlignment="1">
      <alignment horizontal="left" vertical="center"/>
    </xf>
    <xf numFmtId="0" fontId="27" fillId="9" borderId="69" xfId="0" applyFont="1" applyFill="1" applyBorder="1" applyAlignment="1">
      <alignment horizontal="left" vertical="center"/>
    </xf>
    <xf numFmtId="37" fontId="21" fillId="6" borderId="4" xfId="0" applyNumberFormat="1" applyFont="1" applyFill="1" applyBorder="1" applyAlignment="1">
      <alignment horizontal="left" vertical="center"/>
    </xf>
    <xf numFmtId="0" fontId="21" fillId="9" borderId="15" xfId="0" applyFont="1" applyFill="1" applyBorder="1" applyAlignment="1">
      <alignment horizontal="center"/>
    </xf>
    <xf numFmtId="0" fontId="21" fillId="9" borderId="15" xfId="0" applyFont="1" applyFill="1" applyBorder="1" applyAlignment="1">
      <alignment horizontal="center" vertical="center"/>
    </xf>
    <xf numFmtId="0" fontId="21" fillId="9" borderId="15" xfId="0" applyFont="1" applyFill="1" applyBorder="1" applyAlignment="1">
      <alignment vertical="center" wrapText="1"/>
    </xf>
    <xf numFmtId="0" fontId="6" fillId="6" borderId="45" xfId="0" applyFont="1" applyFill="1" applyBorder="1" applyAlignment="1">
      <alignment horizontal="center" vertical="center"/>
    </xf>
    <xf numFmtId="39" fontId="6" fillId="6" borderId="15" xfId="0" applyNumberFormat="1" applyFont="1" applyFill="1" applyBorder="1" applyAlignment="1">
      <alignment horizontal="left" vertical="center"/>
    </xf>
    <xf numFmtId="39" fontId="6" fillId="6" borderId="15" xfId="0" applyNumberFormat="1" applyFont="1" applyFill="1" applyBorder="1" applyAlignment="1">
      <alignment horizontal="center" vertical="center"/>
    </xf>
    <xf numFmtId="167" fontId="21" fillId="6" borderId="15" xfId="0" applyNumberFormat="1" applyFont="1" applyFill="1" applyBorder="1" applyAlignment="1">
      <alignment horizontal="center"/>
    </xf>
    <xf numFmtId="44" fontId="21" fillId="6" borderId="15" xfId="0" applyNumberFormat="1" applyFont="1" applyFill="1" applyBorder="1"/>
    <xf numFmtId="39" fontId="21" fillId="6" borderId="15" xfId="0" applyNumberFormat="1" applyFont="1" applyFill="1" applyBorder="1" applyAlignment="1">
      <alignment horizontal="center"/>
    </xf>
    <xf numFmtId="44" fontId="21" fillId="6" borderId="59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" fontId="2" fillId="0" borderId="3" xfId="1" applyNumberFormat="1" applyFont="1" applyFill="1" applyBorder="1"/>
    <xf numFmtId="0" fontId="22" fillId="0" borderId="4" xfId="0" applyFont="1" applyBorder="1"/>
    <xf numFmtId="0" fontId="6" fillId="9" borderId="45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9" borderId="4" xfId="0" applyNumberFormat="1" applyFont="1" applyFill="1" applyBorder="1"/>
    <xf numFmtId="44" fontId="6" fillId="0" borderId="0" xfId="1" applyFont="1" applyFill="1" applyAlignment="1">
      <alignment horizontal="center" vertical="center"/>
    </xf>
    <xf numFmtId="2" fontId="6" fillId="0" borderId="4" xfId="13" applyNumberFormat="1" applyFont="1" applyFill="1" applyBorder="1"/>
    <xf numFmtId="0" fontId="6" fillId="0" borderId="4" xfId="13" applyFont="1" applyFill="1" applyBorder="1"/>
    <xf numFmtId="4" fontId="21" fillId="9" borderId="4" xfId="0" applyNumberFormat="1" applyFont="1" applyFill="1" applyBorder="1" applyAlignment="1">
      <alignment horizontal="center" vertical="center"/>
    </xf>
    <xf numFmtId="2" fontId="21" fillId="9" borderId="15" xfId="0" applyNumberFormat="1" applyFont="1" applyFill="1" applyBorder="1" applyAlignment="1">
      <alignment horizontal="center" vertical="center"/>
    </xf>
    <xf numFmtId="2" fontId="6" fillId="9" borderId="4" xfId="13" applyNumberFormat="1" applyFont="1" applyFill="1" applyBorder="1" applyAlignment="1">
      <alignment horizontal="center" vertical="center"/>
    </xf>
    <xf numFmtId="2" fontId="6" fillId="9" borderId="15" xfId="0" applyNumberFormat="1" applyFont="1" applyFill="1" applyBorder="1" applyAlignment="1">
      <alignment horizontal="center"/>
    </xf>
    <xf numFmtId="4" fontId="6" fillId="9" borderId="15" xfId="0" applyNumberFormat="1" applyFont="1" applyFill="1" applyBorder="1" applyAlignment="1">
      <alignment horizontal="center" vertical="center"/>
    </xf>
    <xf numFmtId="44" fontId="6" fillId="9" borderId="4" xfId="1" applyFont="1" applyFill="1" applyBorder="1"/>
    <xf numFmtId="44" fontId="6" fillId="9" borderId="32" xfId="1" applyFont="1" applyFill="1" applyBorder="1" applyAlignment="1">
      <alignment vertical="center"/>
    </xf>
    <xf numFmtId="44" fontId="6" fillId="9" borderId="32" xfId="1" applyFont="1" applyFill="1" applyBorder="1"/>
    <xf numFmtId="44" fontId="6" fillId="9" borderId="53" xfId="1" applyFont="1" applyFill="1" applyBorder="1"/>
    <xf numFmtId="44" fontId="6" fillId="9" borderId="43" xfId="1" applyFont="1" applyFill="1" applyBorder="1" applyAlignment="1">
      <alignment vertical="center"/>
    </xf>
    <xf numFmtId="44" fontId="6" fillId="9" borderId="27" xfId="1" applyFont="1" applyFill="1" applyBorder="1" applyAlignment="1">
      <alignment vertical="center"/>
    </xf>
    <xf numFmtId="44" fontId="6" fillId="9" borderId="27" xfId="1" applyFont="1" applyFill="1" applyBorder="1"/>
    <xf numFmtId="44" fontId="21" fillId="9" borderId="27" xfId="1" applyFont="1" applyFill="1" applyBorder="1"/>
    <xf numFmtId="44" fontId="6" fillId="9" borderId="16" xfId="1" applyFont="1" applyFill="1" applyBorder="1" applyAlignment="1">
      <alignment vertical="center"/>
    </xf>
    <xf numFmtId="44" fontId="2" fillId="9" borderId="21" xfId="1" applyFont="1" applyFill="1" applyBorder="1" applyAlignment="1">
      <alignment horizontal="right" vertical="center"/>
    </xf>
    <xf numFmtId="44" fontId="21" fillId="9" borderId="4" xfId="1" applyFont="1" applyFill="1" applyBorder="1"/>
    <xf numFmtId="44" fontId="6" fillId="9" borderId="14" xfId="1" applyFont="1" applyFill="1" applyBorder="1" applyAlignment="1">
      <alignment vertical="center"/>
    </xf>
    <xf numFmtId="44" fontId="6" fillId="9" borderId="15" xfId="1" applyFont="1" applyFill="1" applyBorder="1"/>
    <xf numFmtId="44" fontId="6" fillId="0" borderId="0" xfId="0" applyNumberFormat="1" applyFont="1" applyFill="1" applyAlignment="1">
      <alignment horizontal="center" vertical="center"/>
    </xf>
    <xf numFmtId="44" fontId="2" fillId="9" borderId="21" xfId="1" applyFont="1" applyFill="1" applyBorder="1"/>
    <xf numFmtId="44" fontId="21" fillId="9" borderId="4" xfId="1" applyFont="1" applyFill="1" applyBorder="1" applyAlignment="1">
      <alignment vertical="center"/>
    </xf>
    <xf numFmtId="44" fontId="21" fillId="9" borderId="32" xfId="1" applyFont="1" applyFill="1" applyBorder="1" applyAlignment="1">
      <alignment vertical="center"/>
    </xf>
    <xf numFmtId="44" fontId="21" fillId="9" borderId="15" xfId="1" applyFont="1" applyFill="1" applyBorder="1" applyAlignment="1">
      <alignment vertical="center"/>
    </xf>
    <xf numFmtId="44" fontId="2" fillId="9" borderId="21" xfId="1" applyFont="1" applyFill="1" applyBorder="1" applyAlignment="1">
      <alignment vertical="center"/>
    </xf>
    <xf numFmtId="44" fontId="2" fillId="0" borderId="0" xfId="1" applyFont="1" applyFill="1" applyBorder="1"/>
    <xf numFmtId="0" fontId="17" fillId="0" borderId="0" xfId="18" applyFont="1" applyFill="1" applyBorder="1"/>
    <xf numFmtId="183" fontId="17" fillId="0" borderId="18" xfId="18" applyNumberFormat="1" applyFont="1" applyFill="1" applyBorder="1"/>
    <xf numFmtId="0" fontId="17" fillId="0" borderId="23" xfId="18" applyFont="1" applyFill="1" applyBorder="1"/>
    <xf numFmtId="183" fontId="17" fillId="0" borderId="14" xfId="18" applyNumberFormat="1" applyFont="1" applyFill="1" applyBorder="1"/>
    <xf numFmtId="2" fontId="17" fillId="0" borderId="18" xfId="18" applyNumberFormat="1" applyFont="1" applyFill="1" applyBorder="1"/>
    <xf numFmtId="2" fontId="17" fillId="0" borderId="0" xfId="18" applyNumberFormat="1" applyFont="1" applyFill="1" applyBorder="1" applyAlignment="1">
      <alignment horizontal="center"/>
    </xf>
    <xf numFmtId="0" fontId="17" fillId="0" borderId="24" xfId="18" applyFont="1" applyFill="1" applyBorder="1"/>
    <xf numFmtId="183" fontId="17" fillId="0" borderId="15" xfId="18" applyNumberFormat="1" applyFont="1" applyFill="1" applyBorder="1"/>
    <xf numFmtId="2" fontId="17" fillId="0" borderId="15" xfId="18" applyNumberFormat="1" applyFont="1" applyFill="1" applyBorder="1" applyAlignment="1">
      <alignment horizontal="center"/>
    </xf>
    <xf numFmtId="183" fontId="17" fillId="0" borderId="25" xfId="18" applyNumberFormat="1" applyFont="1" applyFill="1" applyBorder="1"/>
    <xf numFmtId="0" fontId="17" fillId="0" borderId="4" xfId="18" applyFont="1" applyFill="1" applyBorder="1" applyAlignment="1">
      <alignment horizontal="center"/>
    </xf>
    <xf numFmtId="182" fontId="17" fillId="0" borderId="16" xfId="18" applyNumberFormat="1" applyFont="1" applyFill="1" applyBorder="1"/>
    <xf numFmtId="182" fontId="17" fillId="0" borderId="17" xfId="18" applyNumberFormat="1" applyFont="1" applyFill="1" applyBorder="1"/>
    <xf numFmtId="183" fontId="17" fillId="0" borderId="19" xfId="18" applyNumberFormat="1" applyFont="1" applyFill="1" applyBorder="1"/>
    <xf numFmtId="2" fontId="17" fillId="0" borderId="4" xfId="18" applyNumberFormat="1" applyFont="1" applyFill="1" applyBorder="1" applyAlignment="1">
      <alignment horizontal="center"/>
    </xf>
    <xf numFmtId="183" fontId="17" fillId="0" borderId="4" xfId="18" applyNumberFormat="1" applyFont="1" applyFill="1" applyBorder="1"/>
    <xf numFmtId="10" fontId="17" fillId="0" borderId="4" xfId="32" applyNumberFormat="1" applyFont="1" applyFill="1" applyBorder="1"/>
    <xf numFmtId="0" fontId="17" fillId="0" borderId="16" xfId="18" applyFont="1" applyFill="1" applyBorder="1"/>
    <xf numFmtId="0" fontId="17" fillId="0" borderId="16" xfId="18" applyFont="1" applyFill="1" applyBorder="1" applyAlignment="1">
      <alignment horizontal="center"/>
    </xf>
    <xf numFmtId="0" fontId="17" fillId="0" borderId="17" xfId="18" applyFont="1" applyFill="1" applyBorder="1" applyAlignment="1">
      <alignment horizontal="center"/>
    </xf>
    <xf numFmtId="0" fontId="17" fillId="0" borderId="19" xfId="18" applyFont="1" applyFill="1" applyBorder="1" applyAlignment="1">
      <alignment horizontal="center"/>
    </xf>
    <xf numFmtId="0" fontId="17" fillId="0" borderId="17" xfId="18" applyFont="1" applyFill="1" applyBorder="1"/>
    <xf numFmtId="0" fontId="17" fillId="0" borderId="19" xfId="18" applyFont="1" applyFill="1" applyBorder="1"/>
    <xf numFmtId="2" fontId="17" fillId="0" borderId="22" xfId="18" applyNumberFormat="1" applyFont="1" applyFill="1" applyBorder="1" applyAlignment="1">
      <alignment horizontal="center"/>
    </xf>
    <xf numFmtId="10" fontId="17" fillId="0" borderId="16" xfId="32" applyNumberFormat="1" applyFont="1" applyFill="1" applyBorder="1"/>
    <xf numFmtId="2" fontId="17" fillId="0" borderId="25" xfId="18" applyNumberFormat="1" applyFont="1" applyFill="1" applyBorder="1" applyAlignment="1">
      <alignment horizontal="center"/>
    </xf>
    <xf numFmtId="10" fontId="17" fillId="0" borderId="17" xfId="32" applyNumberFormat="1" applyFont="1" applyFill="1" applyBorder="1"/>
    <xf numFmtId="2" fontId="17" fillId="0" borderId="19" xfId="18" applyNumberFormat="1" applyFont="1" applyBorder="1"/>
    <xf numFmtId="0" fontId="17" fillId="0" borderId="28" xfId="18" applyFont="1" applyFill="1" applyBorder="1"/>
    <xf numFmtId="0" fontId="2" fillId="0" borderId="0" xfId="0" applyFont="1" applyFill="1" applyBorder="1" applyAlignment="1">
      <alignment horizontal="left" vertical="center"/>
    </xf>
    <xf numFmtId="0" fontId="3" fillId="9" borderId="53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horizontal="center" vertical="center"/>
    </xf>
    <xf numFmtId="165" fontId="4" fillId="0" borderId="53" xfId="0" applyNumberFormat="1" applyFont="1" applyBorder="1" applyAlignment="1">
      <alignment horizontal="center" vertical="center"/>
    </xf>
    <xf numFmtId="164" fontId="2" fillId="0" borderId="0" xfId="2" applyFont="1" applyFill="1" applyBorder="1" applyAlignment="1">
      <alignment vertical="center"/>
    </xf>
    <xf numFmtId="39" fontId="2" fillId="6" borderId="39" xfId="0" applyNumberFormat="1" applyFont="1" applyFill="1" applyBorder="1" applyAlignment="1">
      <alignment vertical="center" wrapText="1"/>
    </xf>
    <xf numFmtId="165" fontId="21" fillId="6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164" fontId="2" fillId="0" borderId="7" xfId="19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13" applyFont="1" applyBorder="1" applyAlignment="1">
      <alignment horizontal="center" vertical="center" wrapText="1"/>
    </xf>
    <xf numFmtId="0" fontId="37" fillId="0" borderId="4" xfId="5" applyFont="1" applyFill="1" applyBorder="1" applyAlignment="1">
      <alignment vertical="center" wrapText="1"/>
    </xf>
    <xf numFmtId="0" fontId="17" fillId="0" borderId="4" xfId="18" applyFont="1" applyBorder="1"/>
    <xf numFmtId="183" fontId="17" fillId="0" borderId="4" xfId="18" applyNumberFormat="1" applyFont="1" applyBorder="1"/>
    <xf numFmtId="2" fontId="17" fillId="0" borderId="4" xfId="18" applyNumberFormat="1" applyFont="1" applyBorder="1"/>
    <xf numFmtId="2" fontId="17" fillId="0" borderId="4" xfId="18" applyNumberFormat="1" applyFont="1" applyBorder="1" applyAlignment="1">
      <alignment horizontal="center"/>
    </xf>
    <xf numFmtId="10" fontId="11" fillId="0" borderId="28" xfId="18" applyNumberFormat="1" applyFont="1" applyBorder="1" applyAlignment="1">
      <alignment horizontal="center"/>
    </xf>
    <xf numFmtId="0" fontId="3" fillId="9" borderId="14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0" fontId="4" fillId="0" borderId="0" xfId="13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13" applyFont="1" applyFill="1" applyBorder="1" applyAlignment="1">
      <alignment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0" fontId="6" fillId="0" borderId="4" xfId="13" applyFont="1" applyFill="1" applyBorder="1" applyAlignment="1">
      <alignment horizontal="center"/>
    </xf>
    <xf numFmtId="4" fontId="6" fillId="0" borderId="4" xfId="13" applyNumberFormat="1" applyFont="1" applyFill="1" applyBorder="1" applyAlignment="1">
      <alignment horizontal="center"/>
    </xf>
    <xf numFmtId="44" fontId="6" fillId="0" borderId="4" xfId="1" applyFont="1" applyFill="1" applyBorder="1"/>
    <xf numFmtId="44" fontId="6" fillId="0" borderId="32" xfId="1" applyFont="1" applyFill="1" applyBorder="1"/>
    <xf numFmtId="0" fontId="6" fillId="0" borderId="4" xfId="18" applyFont="1" applyFill="1" applyBorder="1" applyAlignment="1">
      <alignment wrapText="1"/>
    </xf>
    <xf numFmtId="0" fontId="6" fillId="0" borderId="4" xfId="18" applyFont="1" applyFill="1" applyBorder="1" applyAlignment="1">
      <alignment horizontal="center"/>
    </xf>
    <xf numFmtId="0" fontId="6" fillId="0" borderId="4" xfId="13" applyFont="1" applyFill="1" applyBorder="1" applyAlignment="1">
      <alignment wrapText="1"/>
    </xf>
    <xf numFmtId="164" fontId="2" fillId="0" borderId="35" xfId="19" applyFont="1" applyFill="1" applyBorder="1"/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wrapText="1"/>
    </xf>
    <xf numFmtId="0" fontId="6" fillId="0" borderId="39" xfId="0" applyFont="1" applyFill="1" applyBorder="1" applyAlignment="1">
      <alignment horizontal="center" vertical="center"/>
    </xf>
    <xf numFmtId="4" fontId="6" fillId="0" borderId="39" xfId="0" applyNumberFormat="1" applyFont="1" applyFill="1" applyBorder="1" applyAlignment="1">
      <alignment horizontal="center" vertical="center"/>
    </xf>
    <xf numFmtId="44" fontId="6" fillId="0" borderId="39" xfId="1" applyFont="1" applyFill="1" applyBorder="1"/>
    <xf numFmtId="44" fontId="6" fillId="0" borderId="32" xfId="1" applyFont="1" applyFill="1" applyBorder="1" applyAlignment="1">
      <alignment vertical="center"/>
    </xf>
    <xf numFmtId="0" fontId="6" fillId="0" borderId="31" xfId="18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wrapText="1"/>
    </xf>
    <xf numFmtId="0" fontId="6" fillId="0" borderId="4" xfId="0" applyFont="1" applyFill="1" applyBorder="1" applyAlignment="1">
      <alignment vertical="center" wrapText="1"/>
    </xf>
    <xf numFmtId="0" fontId="6" fillId="0" borderId="4" xfId="13" applyFont="1" applyFill="1" applyBorder="1" applyAlignment="1">
      <alignment vertical="center" wrapText="1"/>
    </xf>
    <xf numFmtId="2" fontId="6" fillId="0" borderId="4" xfId="13" applyNumberFormat="1" applyFont="1" applyFill="1" applyBorder="1" applyAlignment="1">
      <alignment horizontal="center"/>
    </xf>
    <xf numFmtId="39" fontId="6" fillId="0" borderId="14" xfId="0" applyNumberFormat="1" applyFont="1" applyFill="1" applyBorder="1" applyAlignment="1">
      <alignment horizontal="left" vertical="center" wrapText="1"/>
    </xf>
    <xf numFmtId="44" fontId="6" fillId="0" borderId="4" xfId="1" applyFont="1" applyFill="1" applyBorder="1" applyAlignment="1">
      <alignment vertical="center"/>
    </xf>
    <xf numFmtId="164" fontId="2" fillId="0" borderId="21" xfId="2" applyFont="1" applyFill="1" applyBorder="1" applyAlignment="1">
      <alignment vertical="center"/>
    </xf>
    <xf numFmtId="0" fontId="6" fillId="0" borderId="4" xfId="13" applyFont="1" applyFill="1" applyBorder="1" applyAlignment="1">
      <alignment horizontal="center" vertical="center"/>
    </xf>
    <xf numFmtId="4" fontId="6" fillId="0" borderId="4" xfId="13" applyNumberFormat="1" applyFont="1" applyFill="1" applyBorder="1" applyAlignment="1">
      <alignment horizontal="center" vertical="center"/>
    </xf>
    <xf numFmtId="44" fontId="6" fillId="0" borderId="27" xfId="1" applyFont="1" applyFill="1" applyBorder="1" applyAlignment="1">
      <alignment vertical="center"/>
    </xf>
    <xf numFmtId="0" fontId="6" fillId="0" borderId="9" xfId="0" applyFont="1" applyFill="1" applyBorder="1"/>
    <xf numFmtId="4" fontId="6" fillId="0" borderId="10" xfId="1" applyNumberFormat="1" applyFont="1" applyFill="1" applyBorder="1"/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2" fontId="6" fillId="0" borderId="39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 vertical="center"/>
    </xf>
    <xf numFmtId="0" fontId="6" fillId="0" borderId="31" xfId="0" quotePrefix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53" xfId="0" applyFont="1" applyFill="1" applyBorder="1" applyAlignment="1">
      <alignment wrapText="1"/>
    </xf>
    <xf numFmtId="0" fontId="6" fillId="0" borderId="53" xfId="0" applyFont="1" applyFill="1" applyBorder="1" applyAlignment="1">
      <alignment horizontal="center"/>
    </xf>
    <xf numFmtId="2" fontId="6" fillId="0" borderId="53" xfId="0" applyNumberFormat="1" applyFont="1" applyFill="1" applyBorder="1" applyAlignment="1">
      <alignment horizontal="center"/>
    </xf>
    <xf numFmtId="44" fontId="6" fillId="0" borderId="53" xfId="1" applyFont="1" applyFill="1" applyBorder="1"/>
    <xf numFmtId="0" fontId="6" fillId="0" borderId="9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center"/>
    </xf>
    <xf numFmtId="0" fontId="6" fillId="0" borderId="15" xfId="0" applyFont="1" applyFill="1" applyBorder="1" applyAlignment="1">
      <alignment wrapText="1"/>
    </xf>
    <xf numFmtId="0" fontId="6" fillId="0" borderId="15" xfId="0" applyFont="1" applyFill="1" applyBorder="1" applyAlignment="1">
      <alignment horizontal="center"/>
    </xf>
    <xf numFmtId="2" fontId="6" fillId="0" borderId="15" xfId="0" applyNumberFormat="1" applyFont="1" applyFill="1" applyBorder="1" applyAlignment="1">
      <alignment horizontal="center"/>
    </xf>
    <xf numFmtId="44" fontId="6" fillId="0" borderId="15" xfId="1" applyFont="1" applyFill="1" applyBorder="1"/>
    <xf numFmtId="44" fontId="6" fillId="0" borderId="49" xfId="1" applyFont="1" applyFill="1" applyBorder="1"/>
    <xf numFmtId="4" fontId="6" fillId="0" borderId="15" xfId="16" applyFont="1" applyFill="1" applyBorder="1"/>
    <xf numFmtId="164" fontId="2" fillId="0" borderId="3" xfId="19" applyFont="1" applyFill="1" applyBorder="1"/>
    <xf numFmtId="0" fontId="2" fillId="0" borderId="5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4" fontId="2" fillId="0" borderId="5" xfId="1" applyNumberFormat="1" applyFont="1" applyFill="1" applyBorder="1" applyAlignment="1">
      <alignment horizontal="center"/>
    </xf>
    <xf numFmtId="39" fontId="2" fillId="0" borderId="39" xfId="0" applyNumberFormat="1" applyFont="1" applyFill="1" applyBorder="1" applyAlignment="1">
      <alignment horizontal="left" vertical="center"/>
    </xf>
    <xf numFmtId="39" fontId="2" fillId="0" borderId="39" xfId="0" applyNumberFormat="1" applyFont="1" applyFill="1" applyBorder="1" applyAlignment="1">
      <alignment horizontal="center" vertical="center"/>
    </xf>
    <xf numFmtId="167" fontId="7" fillId="0" borderId="39" xfId="0" applyNumberFormat="1" applyFont="1" applyFill="1" applyBorder="1" applyAlignment="1">
      <alignment horizontal="center"/>
    </xf>
    <xf numFmtId="44" fontId="7" fillId="0" borderId="39" xfId="0" applyNumberFormat="1" applyFont="1" applyFill="1" applyBorder="1"/>
    <xf numFmtId="39" fontId="7" fillId="0" borderId="39" xfId="0" applyNumberFormat="1" applyFont="1" applyFill="1" applyBorder="1" applyAlignment="1">
      <alignment horizontal="center"/>
    </xf>
    <xf numFmtId="44" fontId="7" fillId="0" borderId="40" xfId="0" applyNumberFormat="1" applyFont="1" applyFill="1" applyBorder="1"/>
    <xf numFmtId="39" fontId="6" fillId="0" borderId="4" xfId="0" applyNumberFormat="1" applyFont="1" applyFill="1" applyBorder="1" applyAlignment="1">
      <alignment horizontal="left" vertical="center"/>
    </xf>
    <xf numFmtId="39" fontId="6" fillId="0" borderId="4" xfId="0" applyNumberFormat="1" applyFont="1" applyFill="1" applyBorder="1" applyAlignment="1">
      <alignment horizontal="center" vertical="center"/>
    </xf>
    <xf numFmtId="167" fontId="21" fillId="0" borderId="4" xfId="0" applyNumberFormat="1" applyFont="1" applyFill="1" applyBorder="1" applyAlignment="1">
      <alignment horizontal="center"/>
    </xf>
    <xf numFmtId="44" fontId="21" fillId="0" borderId="4" xfId="0" applyNumberFormat="1" applyFont="1" applyFill="1" applyBorder="1"/>
    <xf numFmtId="39" fontId="21" fillId="0" borderId="4" xfId="0" applyNumberFormat="1" applyFont="1" applyFill="1" applyBorder="1" applyAlignment="1">
      <alignment horizontal="center"/>
    </xf>
    <xf numFmtId="44" fontId="21" fillId="0" borderId="32" xfId="0" applyNumberFormat="1" applyFont="1" applyFill="1" applyBorder="1"/>
    <xf numFmtId="0" fontId="6" fillId="0" borderId="4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center" vertical="center"/>
    </xf>
    <xf numFmtId="39" fontId="6" fillId="0" borderId="53" xfId="0" applyNumberFormat="1" applyFont="1" applyFill="1" applyBorder="1" applyAlignment="1">
      <alignment horizontal="left" vertical="center"/>
    </xf>
    <xf numFmtId="39" fontId="6" fillId="0" borderId="53" xfId="0" applyNumberFormat="1" applyFont="1" applyFill="1" applyBorder="1" applyAlignment="1">
      <alignment horizontal="center" vertical="center"/>
    </xf>
    <xf numFmtId="167" fontId="21" fillId="0" borderId="53" xfId="0" applyNumberFormat="1" applyFont="1" applyFill="1" applyBorder="1" applyAlignment="1">
      <alignment horizontal="center"/>
    </xf>
    <xf numFmtId="44" fontId="21" fillId="0" borderId="53" xfId="0" applyNumberFormat="1" applyFont="1" applyFill="1" applyBorder="1"/>
    <xf numFmtId="39" fontId="21" fillId="0" borderId="53" xfId="0" applyNumberFormat="1" applyFont="1" applyFill="1" applyBorder="1" applyAlignment="1">
      <alignment horizontal="center"/>
    </xf>
    <xf numFmtId="44" fontId="21" fillId="0" borderId="54" xfId="0" applyNumberFormat="1" applyFont="1" applyFill="1" applyBorder="1"/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4" fontId="7" fillId="0" borderId="20" xfId="0" applyNumberFormat="1" applyFont="1" applyFill="1" applyBorder="1"/>
    <xf numFmtId="4" fontId="2" fillId="0" borderId="34" xfId="1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 vertical="center"/>
    </xf>
    <xf numFmtId="167" fontId="21" fillId="0" borderId="4" xfId="0" applyNumberFormat="1" applyFont="1" applyFill="1" applyBorder="1"/>
    <xf numFmtId="39" fontId="21" fillId="0" borderId="4" xfId="0" applyNumberFormat="1" applyFont="1" applyFill="1" applyBorder="1"/>
    <xf numFmtId="167" fontId="21" fillId="0" borderId="53" xfId="0" applyNumberFormat="1" applyFont="1" applyFill="1" applyBorder="1"/>
    <xf numFmtId="39" fontId="21" fillId="0" borderId="53" xfId="0" applyNumberFormat="1" applyFont="1" applyFill="1" applyBorder="1"/>
    <xf numFmtId="0" fontId="2" fillId="0" borderId="3" xfId="0" applyFont="1" applyFill="1" applyBorder="1" applyAlignment="1">
      <alignment horizontal="left" vertical="center"/>
    </xf>
    <xf numFmtId="44" fontId="7" fillId="0" borderId="62" xfId="0" applyNumberFormat="1" applyFont="1" applyFill="1" applyBorder="1"/>
    <xf numFmtId="0" fontId="7" fillId="0" borderId="67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/>
    </xf>
    <xf numFmtId="167" fontId="6" fillId="0" borderId="4" xfId="0" applyNumberFormat="1" applyFont="1" applyFill="1" applyBorder="1" applyAlignment="1">
      <alignment horizontal="left" vertical="center"/>
    </xf>
    <xf numFmtId="44" fontId="6" fillId="0" borderId="4" xfId="0" applyNumberFormat="1" applyFont="1" applyFill="1" applyBorder="1" applyAlignment="1">
      <alignment horizontal="left" vertical="center"/>
    </xf>
    <xf numFmtId="44" fontId="6" fillId="0" borderId="32" xfId="0" applyNumberFormat="1" applyFont="1" applyFill="1" applyBorder="1" applyAlignment="1">
      <alignment horizontal="left" vertical="center"/>
    </xf>
    <xf numFmtId="0" fontId="21" fillId="0" borderId="55" xfId="0" applyFont="1" applyFill="1" applyBorder="1" applyAlignment="1">
      <alignment horizontal="center"/>
    </xf>
    <xf numFmtId="39" fontId="21" fillId="0" borderId="53" xfId="0" applyNumberFormat="1" applyFont="1" applyFill="1" applyBorder="1" applyAlignment="1">
      <alignment wrapText="1"/>
    </xf>
    <xf numFmtId="0" fontId="2" fillId="0" borderId="62" xfId="13" applyFont="1" applyFill="1" applyBorder="1" applyAlignment="1">
      <alignment horizontal="center" vertical="center"/>
    </xf>
    <xf numFmtId="0" fontId="21" fillId="0" borderId="14" xfId="0" applyFont="1" applyFill="1" applyBorder="1"/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4" fontId="2" fillId="0" borderId="44" xfId="1" applyNumberFormat="1" applyFont="1" applyFill="1" applyBorder="1" applyAlignment="1">
      <alignment horizontal="center" vertical="center"/>
    </xf>
    <xf numFmtId="0" fontId="6" fillId="0" borderId="4" xfId="13" applyNumberFormat="1" applyFont="1" applyFill="1" applyBorder="1" applyAlignment="1">
      <alignment horizontal="center" vertical="center"/>
    </xf>
    <xf numFmtId="4" fontId="6" fillId="0" borderId="27" xfId="16" applyFont="1" applyFill="1" applyBorder="1"/>
    <xf numFmtId="2" fontId="21" fillId="0" borderId="4" xfId="0" applyNumberFormat="1" applyFont="1" applyFill="1" applyBorder="1" applyAlignment="1">
      <alignment horizontal="center"/>
    </xf>
    <xf numFmtId="4" fontId="6" fillId="0" borderId="49" xfId="1" applyNumberFormat="1" applyFont="1" applyFill="1" applyBorder="1" applyAlignment="1">
      <alignment vertical="center"/>
    </xf>
    <xf numFmtId="0" fontId="6" fillId="0" borderId="45" xfId="0" applyFont="1" applyFill="1" applyBorder="1" applyAlignment="1">
      <alignment horizontal="center"/>
    </xf>
    <xf numFmtId="0" fontId="6" fillId="0" borderId="15" xfId="0" applyFont="1" applyFill="1" applyBorder="1" applyAlignment="1">
      <alignment vertical="center" wrapText="1"/>
    </xf>
    <xf numFmtId="0" fontId="6" fillId="0" borderId="15" xfId="18" applyFont="1" applyFill="1" applyBorder="1" applyAlignment="1">
      <alignment horizontal="center" vertical="center"/>
    </xf>
    <xf numFmtId="0" fontId="6" fillId="0" borderId="15" xfId="13" applyNumberFormat="1" applyFont="1" applyFill="1" applyBorder="1" applyAlignment="1">
      <alignment horizontal="center" vertical="center"/>
    </xf>
    <xf numFmtId="4" fontId="6" fillId="0" borderId="16" xfId="16" applyFont="1" applyFill="1" applyBorder="1"/>
    <xf numFmtId="0" fontId="21" fillId="0" borderId="4" xfId="0" applyFont="1" applyFill="1" applyBorder="1"/>
    <xf numFmtId="4" fontId="6" fillId="0" borderId="30" xfId="1" applyNumberFormat="1" applyFont="1" applyFill="1" applyBorder="1" applyAlignment="1">
      <alignment vertical="center"/>
    </xf>
    <xf numFmtId="44" fontId="6" fillId="0" borderId="27" xfId="1" applyFont="1" applyFill="1" applyBorder="1"/>
    <xf numFmtId="0" fontId="6" fillId="0" borderId="45" xfId="0" applyFont="1" applyFill="1" applyBorder="1"/>
    <xf numFmtId="2" fontId="6" fillId="0" borderId="15" xfId="0" applyNumberFormat="1" applyFont="1" applyFill="1" applyBorder="1" applyAlignment="1">
      <alignment horizontal="center" vertical="center"/>
    </xf>
    <xf numFmtId="44" fontId="6" fillId="0" borderId="16" xfId="1" applyFont="1" applyFill="1" applyBorder="1"/>
    <xf numFmtId="0" fontId="21" fillId="0" borderId="15" xfId="0" applyFont="1" applyFill="1" applyBorder="1"/>
    <xf numFmtId="4" fontId="2" fillId="0" borderId="62" xfId="1" applyNumberFormat="1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3" xfId="0" applyFont="1" applyFill="1" applyBorder="1" applyAlignment="1">
      <alignment vertical="center" wrapText="1"/>
    </xf>
    <xf numFmtId="0" fontId="6" fillId="0" borderId="53" xfId="0" applyFont="1" applyFill="1" applyBorder="1" applyAlignment="1">
      <alignment horizontal="center" vertical="center"/>
    </xf>
    <xf numFmtId="4" fontId="6" fillId="0" borderId="53" xfId="0" applyNumberFormat="1" applyFont="1" applyFill="1" applyBorder="1" applyAlignment="1">
      <alignment horizontal="center" vertical="center"/>
    </xf>
    <xf numFmtId="44" fontId="6" fillId="0" borderId="54" xfId="1" applyFont="1" applyFill="1" applyBorder="1"/>
    <xf numFmtId="0" fontId="2" fillId="0" borderId="1" xfId="0" applyFont="1" applyFill="1" applyBorder="1" applyAlignment="1">
      <alignment wrapText="1"/>
    </xf>
    <xf numFmtId="44" fontId="2" fillId="0" borderId="39" xfId="1" applyFont="1" applyFill="1" applyBorder="1" applyAlignment="1">
      <alignment horizontal="center" vertical="center"/>
    </xf>
    <xf numFmtId="4" fontId="2" fillId="0" borderId="40" xfId="1" applyNumberFormat="1" applyFont="1" applyFill="1" applyBorder="1" applyAlignment="1">
      <alignment horizontal="center" vertical="center"/>
    </xf>
    <xf numFmtId="0" fontId="6" fillId="0" borderId="31" xfId="26" applyFont="1" applyFill="1" applyBorder="1" applyAlignment="1">
      <alignment horizontal="center"/>
    </xf>
    <xf numFmtId="0" fontId="6" fillId="0" borderId="4" xfId="26" applyFont="1" applyFill="1" applyBorder="1" applyAlignment="1">
      <alignment horizontal="center"/>
    </xf>
    <xf numFmtId="4" fontId="6" fillId="0" borderId="4" xfId="26" applyNumberFormat="1" applyFont="1" applyFill="1" applyBorder="1" applyAlignment="1">
      <alignment horizont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" fontId="6" fillId="0" borderId="0" xfId="0" applyNumberFormat="1" applyFont="1" applyFill="1" applyAlignment="1">
      <alignment horizontal="center" vertical="center"/>
    </xf>
    <xf numFmtId="44" fontId="6" fillId="0" borderId="0" xfId="1" applyFont="1" applyFill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0" fontId="21" fillId="0" borderId="34" xfId="0" applyFont="1" applyFill="1" applyBorder="1"/>
    <xf numFmtId="0" fontId="2" fillId="0" borderId="3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5" xfId="0" quotePrefix="1" applyFont="1" applyFill="1" applyBorder="1" applyAlignment="1">
      <alignment horizontal="center" vertical="center"/>
    </xf>
    <xf numFmtId="0" fontId="6" fillId="0" borderId="15" xfId="18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6" fillId="0" borderId="4" xfId="0" quotePrefix="1" applyFont="1" applyFill="1" applyBorder="1" applyAlignment="1">
      <alignment horizontal="center" vertical="center"/>
    </xf>
    <xf numFmtId="0" fontId="6" fillId="0" borderId="4" xfId="18" applyFont="1" applyFill="1" applyBorder="1" applyAlignment="1">
      <alignment vertical="center" wrapText="1"/>
    </xf>
    <xf numFmtId="0" fontId="6" fillId="0" borderId="15" xfId="0" quotePrefix="1" applyFont="1" applyFill="1" applyBorder="1" applyAlignment="1">
      <alignment horizontal="center" vertical="center"/>
    </xf>
    <xf numFmtId="0" fontId="6" fillId="0" borderId="15" xfId="0" applyFont="1" applyFill="1" applyBorder="1"/>
    <xf numFmtId="0" fontId="2" fillId="0" borderId="58" xfId="0" applyFont="1" applyFill="1" applyBorder="1" applyAlignment="1">
      <alignment horizontal="left" vertical="center"/>
    </xf>
    <xf numFmtId="0" fontId="21" fillId="0" borderId="0" xfId="0" applyFont="1" applyFill="1" applyAlignment="1">
      <alignment wrapText="1"/>
    </xf>
    <xf numFmtId="4" fontId="2" fillId="0" borderId="35" xfId="1" applyNumberFormat="1" applyFont="1" applyFill="1" applyBorder="1" applyAlignment="1">
      <alignment horizontal="center" vertical="center"/>
    </xf>
    <xf numFmtId="0" fontId="6" fillId="0" borderId="36" xfId="13" applyFont="1" applyFill="1" applyBorder="1" applyAlignment="1">
      <alignment horizontal="center"/>
    </xf>
    <xf numFmtId="0" fontId="6" fillId="0" borderId="14" xfId="0" applyFont="1" applyFill="1" applyBorder="1" applyAlignment="1">
      <alignment wrapText="1"/>
    </xf>
    <xf numFmtId="0" fontId="6" fillId="0" borderId="14" xfId="13" applyFont="1" applyFill="1" applyBorder="1" applyAlignment="1">
      <alignment horizontal="center"/>
    </xf>
    <xf numFmtId="2" fontId="6" fillId="0" borderId="14" xfId="13" applyNumberFormat="1" applyFont="1" applyFill="1" applyBorder="1" applyAlignment="1">
      <alignment horizontal="center"/>
    </xf>
    <xf numFmtId="44" fontId="6" fillId="0" borderId="14" xfId="1" applyFont="1" applyFill="1" applyBorder="1"/>
    <xf numFmtId="44" fontId="6" fillId="0" borderId="37" xfId="1" applyFont="1" applyFill="1" applyBorder="1"/>
    <xf numFmtId="0" fontId="6" fillId="0" borderId="4" xfId="0" applyFont="1" applyFill="1" applyBorder="1" applyAlignment="1">
      <alignment horizontal="left" wrapText="1"/>
    </xf>
    <xf numFmtId="0" fontId="6" fillId="0" borderId="36" xfId="13" quotePrefix="1" applyFont="1" applyFill="1" applyBorder="1" applyAlignment="1">
      <alignment horizontal="center"/>
    </xf>
    <xf numFmtId="0" fontId="6" fillId="0" borderId="14" xfId="13" applyFont="1" applyFill="1" applyBorder="1" applyAlignment="1">
      <alignment wrapText="1"/>
    </xf>
    <xf numFmtId="0" fontId="6" fillId="0" borderId="31" xfId="13" quotePrefix="1" applyFont="1" applyFill="1" applyBorder="1" applyAlignment="1">
      <alignment horizontal="center"/>
    </xf>
    <xf numFmtId="2" fontId="6" fillId="0" borderId="4" xfId="13" applyNumberFormat="1" applyFont="1" applyFill="1" applyBorder="1" applyAlignment="1">
      <alignment horizontal="center" vertical="center"/>
    </xf>
    <xf numFmtId="0" fontId="6" fillId="0" borderId="45" xfId="13" quotePrefix="1" applyFont="1" applyFill="1" applyBorder="1" applyAlignment="1">
      <alignment horizontal="center" vertical="center"/>
    </xf>
    <xf numFmtId="0" fontId="6" fillId="0" borderId="15" xfId="13" applyFont="1" applyFill="1" applyBorder="1" applyAlignment="1">
      <alignment vertical="center" wrapText="1"/>
    </xf>
    <xf numFmtId="0" fontId="6" fillId="0" borderId="15" xfId="13" applyFont="1" applyFill="1" applyBorder="1" applyAlignment="1">
      <alignment horizontal="center" vertical="center"/>
    </xf>
    <xf numFmtId="2" fontId="6" fillId="0" borderId="15" xfId="13" applyNumberFormat="1" applyFont="1" applyFill="1" applyBorder="1" applyAlignment="1">
      <alignment horizontal="center" vertical="center"/>
    </xf>
    <xf numFmtId="44" fontId="6" fillId="0" borderId="15" xfId="1" applyFont="1" applyFill="1" applyBorder="1" applyAlignment="1">
      <alignment vertical="center"/>
    </xf>
    <xf numFmtId="44" fontId="6" fillId="0" borderId="59" xfId="1" applyFont="1" applyFill="1" applyBorder="1"/>
    <xf numFmtId="0" fontId="6" fillId="0" borderId="1" xfId="0" applyFont="1" applyFill="1" applyBorder="1"/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/>
    <xf numFmtId="0" fontId="6" fillId="0" borderId="3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9" borderId="4" xfId="13" applyFont="1" applyFill="1" applyBorder="1" applyAlignment="1">
      <alignment vertical="center" wrapText="1"/>
    </xf>
    <xf numFmtId="0" fontId="7" fillId="9" borderId="33" xfId="0" applyFont="1" applyFill="1" applyBorder="1" applyAlignment="1">
      <alignment horizontal="center" vertical="center"/>
    </xf>
    <xf numFmtId="0" fontId="2" fillId="9" borderId="56" xfId="0" applyFont="1" applyFill="1" applyBorder="1" applyAlignment="1">
      <alignment horizontal="center" vertical="center"/>
    </xf>
    <xf numFmtId="0" fontId="6" fillId="9" borderId="4" xfId="18" applyFont="1" applyFill="1" applyBorder="1" applyAlignment="1">
      <alignment wrapText="1"/>
    </xf>
    <xf numFmtId="0" fontId="6" fillId="9" borderId="4" xfId="13" applyFont="1" applyFill="1" applyBorder="1" applyAlignment="1">
      <alignment wrapText="1"/>
    </xf>
    <xf numFmtId="164" fontId="2" fillId="9" borderId="35" xfId="19" applyFont="1" applyFill="1" applyBorder="1"/>
    <xf numFmtId="0" fontId="6" fillId="9" borderId="38" xfId="0" applyFont="1" applyFill="1" applyBorder="1" applyAlignment="1">
      <alignment horizontal="center" vertical="center"/>
    </xf>
    <xf numFmtId="0" fontId="6" fillId="9" borderId="39" xfId="0" applyFont="1" applyFill="1" applyBorder="1" applyAlignment="1">
      <alignment vertical="center" wrapText="1"/>
    </xf>
    <xf numFmtId="0" fontId="6" fillId="9" borderId="39" xfId="0" applyFont="1" applyFill="1" applyBorder="1" applyAlignment="1">
      <alignment horizontal="center" vertical="center"/>
    </xf>
    <xf numFmtId="4" fontId="6" fillId="9" borderId="39" xfId="0" applyNumberFormat="1" applyFont="1" applyFill="1" applyBorder="1" applyAlignment="1">
      <alignment horizontal="center" vertical="center"/>
    </xf>
    <xf numFmtId="44" fontId="6" fillId="9" borderId="39" xfId="1" applyFont="1" applyFill="1" applyBorder="1"/>
    <xf numFmtId="0" fontId="6" fillId="9" borderId="4" xfId="13" applyFont="1" applyFill="1" applyBorder="1" applyAlignment="1">
      <alignment vertical="center" wrapText="1"/>
    </xf>
    <xf numFmtId="4" fontId="6" fillId="9" borderId="4" xfId="0" applyNumberFormat="1" applyFont="1" applyFill="1" applyBorder="1" applyAlignment="1">
      <alignment wrapText="1"/>
    </xf>
    <xf numFmtId="2" fontId="6" fillId="9" borderId="4" xfId="13" applyNumberFormat="1" applyFont="1" applyFill="1" applyBorder="1" applyAlignment="1">
      <alignment horizontal="center"/>
    </xf>
    <xf numFmtId="39" fontId="6" fillId="9" borderId="14" xfId="0" applyNumberFormat="1" applyFont="1" applyFill="1" applyBorder="1" applyAlignment="1">
      <alignment horizontal="left" vertical="center" wrapText="1"/>
    </xf>
    <xf numFmtId="164" fontId="2" fillId="9" borderId="21" xfId="2" applyFont="1" applyFill="1" applyBorder="1" applyAlignment="1">
      <alignment vertical="center"/>
    </xf>
    <xf numFmtId="0" fontId="6" fillId="9" borderId="39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13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2" fontId="2" fillId="0" borderId="4" xfId="13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13" applyFont="1" applyFill="1" applyBorder="1" applyAlignment="1">
      <alignment horizontal="center" vertical="center"/>
    </xf>
    <xf numFmtId="0" fontId="2" fillId="0" borderId="4" xfId="13" applyFont="1" applyFill="1" applyBorder="1" applyAlignment="1">
      <alignment horizontal="center" vertical="center" wrapText="1"/>
    </xf>
    <xf numFmtId="0" fontId="6" fillId="0" borderId="4" xfId="0" applyFont="1" applyFill="1" applyBorder="1"/>
    <xf numFmtId="2" fontId="6" fillId="0" borderId="4" xfId="13" applyNumberFormat="1" applyFont="1" applyFill="1" applyBorder="1" applyAlignment="1">
      <alignment vertical="center"/>
    </xf>
    <xf numFmtId="2" fontId="6" fillId="0" borderId="4" xfId="0" applyNumberFormat="1" applyFont="1" applyFill="1" applyBorder="1" applyAlignment="1">
      <alignment vertical="center"/>
    </xf>
    <xf numFmtId="0" fontId="2" fillId="0" borderId="4" xfId="0" applyFont="1" applyFill="1" applyBorder="1"/>
    <xf numFmtId="0" fontId="2" fillId="0" borderId="0" xfId="0" applyFont="1" applyFill="1" applyBorder="1" applyAlignment="1">
      <alignment horizontal="left" vertical="center"/>
    </xf>
    <xf numFmtId="4" fontId="2" fillId="0" borderId="0" xfId="1" applyNumberFormat="1" applyFont="1" applyFill="1" applyBorder="1"/>
    <xf numFmtId="0" fontId="28" fillId="0" borderId="4" xfId="13" applyFont="1" applyFill="1" applyBorder="1" applyAlignment="1">
      <alignment horizontal="center"/>
    </xf>
    <xf numFmtId="0" fontId="28" fillId="0" borderId="4" xfId="13" applyFont="1" applyFill="1" applyBorder="1" applyAlignment="1">
      <alignment horizontal="center" vertical="center" wrapText="1"/>
    </xf>
    <xf numFmtId="0" fontId="6" fillId="0" borderId="4" xfId="13" applyFont="1" applyFill="1" applyBorder="1" applyAlignment="1">
      <alignment horizontal="right"/>
    </xf>
    <xf numFmtId="0" fontId="6" fillId="0" borderId="4" xfId="13" applyFont="1" applyFill="1" applyBorder="1" applyAlignment="1">
      <alignment horizontal="right" vertical="center"/>
    </xf>
    <xf numFmtId="0" fontId="2" fillId="0" borderId="18" xfId="13" applyFont="1" applyFill="1" applyBorder="1" applyAlignment="1">
      <alignment horizontal="center" vertical="center"/>
    </xf>
    <xf numFmtId="16" fontId="6" fillId="0" borderId="4" xfId="13" applyNumberFormat="1" applyFont="1" applyFill="1" applyBorder="1" applyAlignment="1">
      <alignment horizontal="center"/>
    </xf>
    <xf numFmtId="0" fontId="2" fillId="0" borderId="27" xfId="13" applyFont="1" applyFill="1" applyBorder="1" applyAlignment="1">
      <alignment horizontal="center" vertical="center"/>
    </xf>
    <xf numFmtId="0" fontId="2" fillId="0" borderId="28" xfId="13" applyFont="1" applyFill="1" applyBorder="1" applyAlignment="1">
      <alignment horizontal="center" vertical="center"/>
    </xf>
    <xf numFmtId="0" fontId="2" fillId="0" borderId="29" xfId="13" applyFont="1" applyFill="1" applyBorder="1" applyAlignment="1">
      <alignment horizontal="center" vertical="center"/>
    </xf>
    <xf numFmtId="0" fontId="2" fillId="0" borderId="27" xfId="13" applyFont="1" applyFill="1" applyBorder="1" applyAlignment="1">
      <alignment horizontal="center" wrapText="1"/>
    </xf>
    <xf numFmtId="0" fontId="2" fillId="0" borderId="28" xfId="13" applyFont="1" applyFill="1" applyBorder="1" applyAlignment="1">
      <alignment horizontal="center" wrapText="1"/>
    </xf>
    <xf numFmtId="0" fontId="2" fillId="0" borderId="29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vertical="center"/>
    </xf>
    <xf numFmtId="2" fontId="6" fillId="0" borderId="4" xfId="0" applyNumberFormat="1" applyFont="1" applyFill="1" applyBorder="1"/>
    <xf numFmtId="0" fontId="2" fillId="0" borderId="0" xfId="13" applyFont="1" applyFill="1" applyBorder="1" applyAlignment="1">
      <alignment horizontal="center" wrapText="1"/>
    </xf>
    <xf numFmtId="2" fontId="6" fillId="0" borderId="0" xfId="13" applyNumberFormat="1" applyFont="1" applyFill="1" applyBorder="1"/>
    <xf numFmtId="0" fontId="6" fillId="0" borderId="0" xfId="13" applyFont="1" applyFill="1" applyBorder="1"/>
    <xf numFmtId="0" fontId="2" fillId="0" borderId="0" xfId="13" applyFont="1" applyFill="1"/>
    <xf numFmtId="0" fontId="6" fillId="0" borderId="0" xfId="0" applyFont="1" applyFill="1" applyAlignment="1">
      <alignment vertical="center"/>
    </xf>
    <xf numFmtId="0" fontId="2" fillId="0" borderId="0" xfId="13" applyFont="1" applyFill="1" applyAlignment="1">
      <alignment horizontal="center"/>
    </xf>
    <xf numFmtId="2" fontId="6" fillId="0" borderId="0" xfId="13" applyNumberFormat="1" applyFont="1" applyFill="1"/>
    <xf numFmtId="0" fontId="6" fillId="0" borderId="0" xfId="13" applyFont="1" applyFill="1"/>
    <xf numFmtId="2" fontId="6" fillId="0" borderId="0" xfId="0" applyNumberFormat="1" applyFont="1" applyFill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2" fontId="6" fillId="0" borderId="29" xfId="0" applyNumberFormat="1" applyFont="1" applyFill="1" applyBorder="1" applyAlignment="1">
      <alignment horizontal="center"/>
    </xf>
    <xf numFmtId="0" fontId="6" fillId="0" borderId="14" xfId="13" applyFont="1" applyFill="1" applyBorder="1" applyAlignment="1">
      <alignment vertical="center"/>
    </xf>
    <xf numFmtId="2" fontId="6" fillId="0" borderId="14" xfId="13" applyNumberFormat="1" applyFont="1" applyFill="1" applyBorder="1" applyAlignment="1">
      <alignment vertical="center"/>
    </xf>
    <xf numFmtId="0" fontId="2" fillId="0" borderId="4" xfId="13" applyFont="1" applyFill="1" applyBorder="1" applyAlignment="1">
      <alignment vertical="center"/>
    </xf>
    <xf numFmtId="4" fontId="2" fillId="0" borderId="4" xfId="13" applyNumberFormat="1" applyFont="1" applyFill="1" applyBorder="1" applyAlignment="1">
      <alignment horizontal="center" vertical="center"/>
    </xf>
    <xf numFmtId="4" fontId="6" fillId="0" borderId="4" xfId="13" applyNumberFormat="1" applyFont="1" applyFill="1" applyBorder="1" applyAlignment="1">
      <alignment vertical="center"/>
    </xf>
    <xf numFmtId="4" fontId="6" fillId="0" borderId="4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center"/>
    </xf>
    <xf numFmtId="0" fontId="2" fillId="0" borderId="27" xfId="13" applyFont="1" applyBorder="1" applyAlignment="1">
      <alignment horizontal="center"/>
    </xf>
    <xf numFmtId="0" fontId="2" fillId="0" borderId="28" xfId="13" applyFont="1" applyBorder="1" applyAlignment="1">
      <alignment horizontal="center"/>
    </xf>
    <xf numFmtId="0" fontId="2" fillId="0" borderId="29" xfId="13" applyFont="1" applyBorder="1" applyAlignment="1">
      <alignment horizontal="center"/>
    </xf>
    <xf numFmtId="0" fontId="2" fillId="0" borderId="4" xfId="13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4" fontId="27" fillId="0" borderId="0" xfId="2" applyFont="1" applyFill="1" applyBorder="1"/>
    <xf numFmtId="0" fontId="3" fillId="9" borderId="0" xfId="0" applyFont="1" applyFill="1"/>
    <xf numFmtId="0" fontId="27" fillId="9" borderId="57" xfId="0" applyFont="1" applyFill="1" applyBorder="1" applyAlignment="1">
      <alignment horizontal="center" vertical="center"/>
    </xf>
    <xf numFmtId="0" fontId="27" fillId="9" borderId="5" xfId="0" applyFont="1" applyFill="1" applyBorder="1" applyAlignment="1">
      <alignment horizontal="center" vertical="center"/>
    </xf>
    <xf numFmtId="0" fontId="27" fillId="9" borderId="56" xfId="0" applyFont="1" applyFill="1" applyBorder="1" applyAlignment="1">
      <alignment horizontal="center" vertical="center"/>
    </xf>
    <xf numFmtId="0" fontId="4" fillId="9" borderId="38" xfId="0" applyFont="1" applyFill="1" applyBorder="1" applyAlignment="1">
      <alignment horizontal="center"/>
    </xf>
    <xf numFmtId="0" fontId="4" fillId="9" borderId="39" xfId="0" applyFont="1" applyFill="1" applyBorder="1"/>
    <xf numFmtId="0" fontId="4" fillId="9" borderId="39" xfId="0" applyFont="1" applyFill="1" applyBorder="1" applyAlignment="1">
      <alignment horizontal="center"/>
    </xf>
    <xf numFmtId="2" fontId="3" fillId="9" borderId="39" xfId="0" applyNumberFormat="1" applyFont="1" applyFill="1" applyBorder="1" applyAlignment="1">
      <alignment horizontal="center"/>
    </xf>
    <xf numFmtId="4" fontId="3" fillId="9" borderId="39" xfId="16" applyFont="1" applyFill="1" applyBorder="1"/>
    <xf numFmtId="4" fontId="4" fillId="9" borderId="40" xfId="16" applyFont="1" applyFill="1" applyBorder="1"/>
    <xf numFmtId="0" fontId="4" fillId="9" borderId="31" xfId="0" applyFont="1" applyFill="1" applyBorder="1" applyAlignment="1">
      <alignment horizontal="center"/>
    </xf>
    <xf numFmtId="0" fontId="4" fillId="9" borderId="4" xfId="0" applyFont="1" applyFill="1" applyBorder="1"/>
    <xf numFmtId="0" fontId="4" fillId="9" borderId="4" xfId="0" applyFont="1" applyFill="1" applyBorder="1" applyAlignment="1">
      <alignment horizontal="center"/>
    </xf>
    <xf numFmtId="2" fontId="3" fillId="9" borderId="4" xfId="0" applyNumberFormat="1" applyFont="1" applyFill="1" applyBorder="1" applyAlignment="1">
      <alignment horizontal="center"/>
    </xf>
    <xf numFmtId="4" fontId="3" fillId="9" borderId="4" xfId="16" applyFont="1" applyFill="1" applyBorder="1"/>
    <xf numFmtId="4" fontId="4" fillId="9" borderId="32" xfId="16" applyFont="1" applyFill="1" applyBorder="1"/>
    <xf numFmtId="0" fontId="4" fillId="9" borderId="31" xfId="0" quotePrefix="1" applyFont="1" applyFill="1" applyBorder="1" applyAlignment="1">
      <alignment horizontal="center"/>
    </xf>
    <xf numFmtId="4" fontId="4" fillId="9" borderId="4" xfId="0" applyNumberFormat="1" applyFont="1" applyFill="1" applyBorder="1"/>
    <xf numFmtId="4" fontId="4" fillId="9" borderId="4" xfId="0" applyNumberFormat="1" applyFont="1" applyFill="1" applyBorder="1" applyAlignment="1">
      <alignment horizontal="center"/>
    </xf>
    <xf numFmtId="4" fontId="4" fillId="9" borderId="4" xfId="16" applyFont="1" applyFill="1" applyBorder="1"/>
    <xf numFmtId="0" fontId="4" fillId="9" borderId="55" xfId="0" quotePrefix="1" applyFont="1" applyFill="1" applyBorder="1" applyAlignment="1">
      <alignment horizontal="center"/>
    </xf>
    <xf numFmtId="0" fontId="4" fillId="9" borderId="53" xfId="0" applyFont="1" applyFill="1" applyBorder="1"/>
    <xf numFmtId="0" fontId="4" fillId="9" borderId="53" xfId="0" applyFont="1" applyFill="1" applyBorder="1" applyAlignment="1">
      <alignment horizontal="center"/>
    </xf>
    <xf numFmtId="4" fontId="4" fillId="9" borderId="53" xfId="0" applyNumberFormat="1" applyFont="1" applyFill="1" applyBorder="1" applyAlignment="1">
      <alignment horizontal="center"/>
    </xf>
    <xf numFmtId="4" fontId="4" fillId="9" borderId="53" xfId="16" applyFont="1" applyFill="1" applyBorder="1"/>
    <xf numFmtId="4" fontId="4" fillId="9" borderId="54" xfId="16" applyFont="1" applyFill="1" applyBorder="1"/>
    <xf numFmtId="0" fontId="4" fillId="9" borderId="0" xfId="0" applyFont="1" applyFill="1" applyBorder="1" applyAlignment="1">
      <alignment horizontal="center"/>
    </xf>
    <xf numFmtId="0" fontId="4" fillId="9" borderId="0" xfId="0" applyFont="1" applyFill="1" applyBorder="1"/>
    <xf numFmtId="4" fontId="4" fillId="9" borderId="0" xfId="0" applyNumberFormat="1" applyFont="1" applyFill="1" applyBorder="1" applyAlignment="1">
      <alignment horizontal="center"/>
    </xf>
    <xf numFmtId="4" fontId="4" fillId="9" borderId="0" xfId="0" applyNumberFormat="1" applyFont="1" applyFill="1" applyBorder="1"/>
    <xf numFmtId="3" fontId="4" fillId="9" borderId="0" xfId="0" applyNumberFormat="1" applyFont="1" applyFill="1" applyBorder="1"/>
    <xf numFmtId="164" fontId="27" fillId="9" borderId="35" xfId="2" applyFont="1" applyFill="1" applyBorder="1" applyAlignment="1">
      <alignment vertical="center"/>
    </xf>
    <xf numFmtId="0" fontId="2" fillId="9" borderId="1" xfId="0" applyFont="1" applyFill="1" applyBorder="1" applyAlignment="1">
      <alignment horizontal="left" vertical="center"/>
    </xf>
    <xf numFmtId="0" fontId="2" fillId="9" borderId="2" xfId="0" applyFont="1" applyFill="1" applyBorder="1" applyAlignment="1">
      <alignment horizontal="left" vertical="center"/>
    </xf>
    <xf numFmtId="0" fontId="2" fillId="9" borderId="58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66" xfId="0" applyFont="1" applyFill="1" applyBorder="1" applyAlignment="1">
      <alignment horizontal="left" vertical="center"/>
    </xf>
    <xf numFmtId="0" fontId="2" fillId="9" borderId="33" xfId="0" applyFont="1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/>
    </xf>
    <xf numFmtId="4" fontId="2" fillId="9" borderId="35" xfId="1" applyNumberFormat="1" applyFont="1" applyFill="1" applyBorder="1" applyAlignment="1">
      <alignment horizontal="center" vertical="center"/>
    </xf>
    <xf numFmtId="0" fontId="6" fillId="9" borderId="36" xfId="13" applyFont="1" applyFill="1" applyBorder="1" applyAlignment="1">
      <alignment horizontal="center"/>
    </xf>
    <xf numFmtId="0" fontId="6" fillId="9" borderId="14" xfId="0" applyFont="1" applyFill="1" applyBorder="1" applyAlignment="1">
      <alignment vertical="center" wrapText="1"/>
    </xf>
    <xf numFmtId="0" fontId="6" fillId="9" borderId="14" xfId="13" applyFont="1" applyFill="1" applyBorder="1" applyAlignment="1">
      <alignment horizontal="center"/>
    </xf>
    <xf numFmtId="2" fontId="6" fillId="9" borderId="14" xfId="13" applyNumberFormat="1" applyFont="1" applyFill="1" applyBorder="1" applyAlignment="1">
      <alignment horizontal="center"/>
    </xf>
    <xf numFmtId="44" fontId="6" fillId="9" borderId="14" xfId="1" applyFont="1" applyFill="1" applyBorder="1"/>
    <xf numFmtId="44" fontId="6" fillId="9" borderId="37" xfId="1" applyFont="1" applyFill="1" applyBorder="1"/>
    <xf numFmtId="0" fontId="6" fillId="9" borderId="4" xfId="0" applyFont="1" applyFill="1" applyBorder="1" applyAlignment="1">
      <alignment horizontal="left" wrapText="1"/>
    </xf>
    <xf numFmtId="0" fontId="6" fillId="9" borderId="36" xfId="13" quotePrefix="1" applyFont="1" applyFill="1" applyBorder="1" applyAlignment="1">
      <alignment horizontal="center"/>
    </xf>
    <xf numFmtId="0" fontId="6" fillId="9" borderId="14" xfId="13" applyFont="1" applyFill="1" applyBorder="1" applyAlignment="1">
      <alignment wrapText="1"/>
    </xf>
    <xf numFmtId="4" fontId="6" fillId="9" borderId="4" xfId="0" applyNumberFormat="1" applyFont="1" applyFill="1" applyBorder="1" applyAlignment="1">
      <alignment vertical="center" wrapText="1"/>
    </xf>
    <xf numFmtId="0" fontId="6" fillId="9" borderId="31" xfId="13" quotePrefix="1" applyFont="1" applyFill="1" applyBorder="1" applyAlignment="1">
      <alignment horizontal="center"/>
    </xf>
    <xf numFmtId="0" fontId="6" fillId="9" borderId="45" xfId="13" quotePrefix="1" applyFont="1" applyFill="1" applyBorder="1" applyAlignment="1">
      <alignment horizontal="center" vertical="center"/>
    </xf>
    <xf numFmtId="0" fontId="6" fillId="9" borderId="15" xfId="13" applyFont="1" applyFill="1" applyBorder="1" applyAlignment="1">
      <alignment vertical="center" wrapText="1"/>
    </xf>
    <xf numFmtId="2" fontId="6" fillId="9" borderId="15" xfId="13" applyNumberFormat="1" applyFont="1" applyFill="1" applyBorder="1" applyAlignment="1">
      <alignment horizontal="center" vertical="center"/>
    </xf>
    <xf numFmtId="44" fontId="6" fillId="9" borderId="15" xfId="1" applyFont="1" applyFill="1" applyBorder="1" applyAlignment="1">
      <alignment vertical="center"/>
    </xf>
    <xf numFmtId="44" fontId="6" fillId="9" borderId="59" xfId="1" applyFont="1" applyFill="1" applyBorder="1"/>
    <xf numFmtId="0" fontId="6" fillId="9" borderId="1" xfId="0" applyFont="1" applyFill="1" applyBorder="1"/>
    <xf numFmtId="0" fontId="6" fillId="9" borderId="2" xfId="0" applyFont="1" applyFill="1" applyBorder="1" applyAlignment="1">
      <alignment wrapText="1"/>
    </xf>
    <xf numFmtId="0" fontId="6" fillId="9" borderId="2" xfId="0" applyFont="1" applyFill="1" applyBorder="1"/>
    <xf numFmtId="0" fontId="6" fillId="9" borderId="3" xfId="0" applyFont="1" applyFill="1" applyBorder="1"/>
    <xf numFmtId="0" fontId="6" fillId="9" borderId="0" xfId="0" applyNumberFormat="1" applyFont="1" applyFill="1"/>
    <xf numFmtId="0" fontId="6" fillId="9" borderId="39" xfId="0" applyNumberFormat="1" applyFont="1" applyFill="1" applyBorder="1" applyAlignment="1">
      <alignment horizontal="center" vertical="center"/>
    </xf>
    <xf numFmtId="4" fontId="6" fillId="9" borderId="39" xfId="16" applyFont="1" applyFill="1" applyBorder="1" applyAlignment="1">
      <alignment vertical="center"/>
    </xf>
    <xf numFmtId="4" fontId="6" fillId="9" borderId="40" xfId="1" applyNumberFormat="1" applyFont="1" applyFill="1" applyBorder="1" applyAlignment="1">
      <alignment vertical="center"/>
    </xf>
    <xf numFmtId="0" fontId="6" fillId="9" borderId="4" xfId="16" applyNumberFormat="1" applyFont="1" applyFill="1" applyBorder="1" applyAlignment="1">
      <alignment horizontal="center" vertical="center"/>
    </xf>
    <xf numFmtId="4" fontId="6" fillId="9" borderId="4" xfId="16" applyFont="1" applyFill="1" applyBorder="1" applyAlignment="1">
      <alignment vertical="center"/>
    </xf>
    <xf numFmtId="4" fontId="6" fillId="9" borderId="32" xfId="1" applyNumberFormat="1" applyFont="1" applyFill="1" applyBorder="1" applyAlignment="1">
      <alignment vertical="center"/>
    </xf>
    <xf numFmtId="0" fontId="6" fillId="9" borderId="4" xfId="0" applyNumberFormat="1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left" vertical="center" wrapText="1"/>
    </xf>
    <xf numFmtId="0" fontId="6" fillId="9" borderId="4" xfId="18" applyFont="1" applyFill="1" applyBorder="1" applyAlignment="1">
      <alignment vertical="center" wrapText="1"/>
    </xf>
    <xf numFmtId="0" fontId="6" fillId="9" borderId="55" xfId="0" quotePrefix="1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vertical="center" wrapText="1"/>
    </xf>
    <xf numFmtId="0" fontId="6" fillId="9" borderId="53" xfId="0" applyNumberFormat="1" applyFont="1" applyFill="1" applyBorder="1" applyAlignment="1">
      <alignment horizontal="center" vertical="center"/>
    </xf>
    <xf numFmtId="4" fontId="6" fillId="9" borderId="53" xfId="16" applyFont="1" applyFill="1" applyBorder="1" applyAlignment="1">
      <alignment vertical="center"/>
    </xf>
    <xf numFmtId="4" fontId="6" fillId="9" borderId="54" xfId="1" applyNumberFormat="1" applyFont="1" applyFill="1" applyBorder="1" applyAlignment="1">
      <alignment vertical="center"/>
    </xf>
    <xf numFmtId="0" fontId="6" fillId="9" borderId="0" xfId="0" quotePrefix="1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6" fillId="9" borderId="0" xfId="0" applyNumberFormat="1" applyFont="1" applyFill="1" applyAlignment="1">
      <alignment horizontal="center"/>
    </xf>
    <xf numFmtId="3" fontId="6" fillId="9" borderId="0" xfId="0" applyNumberFormat="1" applyFont="1" applyFill="1"/>
    <xf numFmtId="4" fontId="2" fillId="9" borderId="35" xfId="1" applyNumberFormat="1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66" xfId="0" applyFont="1" applyFill="1" applyBorder="1" applyAlignment="1">
      <alignment horizontal="left" vertical="center"/>
    </xf>
    <xf numFmtId="44" fontId="6" fillId="9" borderId="0" xfId="1" applyFont="1" applyFill="1"/>
    <xf numFmtId="0" fontId="2" fillId="9" borderId="39" xfId="0" applyNumberFormat="1" applyFont="1" applyFill="1" applyBorder="1" applyAlignment="1">
      <alignment horizontal="center" vertical="center"/>
    </xf>
    <xf numFmtId="4" fontId="6" fillId="9" borderId="4" xfId="16" applyFont="1" applyFill="1" applyBorder="1"/>
    <xf numFmtId="0" fontId="6" fillId="9" borderId="4" xfId="26" applyNumberFormat="1" applyFont="1" applyFill="1" applyBorder="1" applyAlignment="1">
      <alignment horizontal="center"/>
    </xf>
    <xf numFmtId="4" fontId="6" fillId="9" borderId="32" xfId="1" applyNumberFormat="1" applyFont="1" applyFill="1" applyBorder="1"/>
    <xf numFmtId="4" fontId="6" fillId="9" borderId="53" xfId="16" applyFont="1" applyFill="1" applyBorder="1"/>
    <xf numFmtId="0" fontId="6" fillId="9" borderId="0" xfId="0" quotePrefix="1" applyFont="1" applyFill="1" applyAlignment="1">
      <alignment horizontal="center" vertical="center"/>
    </xf>
    <xf numFmtId="0" fontId="6" fillId="9" borderId="0" xfId="0" applyFont="1" applyFill="1" applyAlignment="1">
      <alignment vertical="center" wrapText="1"/>
    </xf>
    <xf numFmtId="0" fontId="6" fillId="9" borderId="0" xfId="0" applyNumberFormat="1" applyFont="1" applyFill="1" applyAlignment="1">
      <alignment horizontal="center" vertical="center"/>
    </xf>
    <xf numFmtId="44" fontId="6" fillId="9" borderId="0" xfId="1" applyFont="1" applyFill="1" applyAlignment="1">
      <alignment vertical="center"/>
    </xf>
    <xf numFmtId="0" fontId="4" fillId="11" borderId="4" xfId="13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4" fillId="11" borderId="4" xfId="0" applyFont="1" applyFill="1" applyBorder="1" applyAlignment="1">
      <alignment horizontal="center" vertical="center"/>
    </xf>
    <xf numFmtId="2" fontId="4" fillId="11" borderId="4" xfId="0" applyNumberFormat="1" applyFont="1" applyFill="1" applyBorder="1" applyAlignment="1">
      <alignment horizontal="center" vertical="center"/>
    </xf>
    <xf numFmtId="4" fontId="4" fillId="11" borderId="4" xfId="16" applyFont="1" applyFill="1" applyBorder="1" applyAlignment="1">
      <alignment vertical="center"/>
    </xf>
    <xf numFmtId="0" fontId="6" fillId="11" borderId="0" xfId="0" applyFont="1" applyFill="1" applyAlignment="1">
      <alignment horizontal="center" vertical="center"/>
    </xf>
    <xf numFmtId="0" fontId="6" fillId="11" borderId="4" xfId="0" applyFont="1" applyFill="1" applyBorder="1" applyAlignment="1">
      <alignment vertical="center" wrapText="1"/>
    </xf>
    <xf numFmtId="0" fontId="6" fillId="11" borderId="4" xfId="0" applyFont="1" applyFill="1" applyBorder="1" applyAlignment="1">
      <alignment horizontal="center" vertical="center"/>
    </xf>
    <xf numFmtId="0" fontId="6" fillId="11" borderId="4" xfId="0" applyNumberFormat="1" applyFont="1" applyFill="1" applyBorder="1" applyAlignment="1">
      <alignment horizontal="center" vertical="center"/>
    </xf>
    <xf numFmtId="4" fontId="6" fillId="11" borderId="4" xfId="16" applyFont="1" applyFill="1" applyBorder="1" applyAlignment="1">
      <alignment vertical="center"/>
    </xf>
    <xf numFmtId="4" fontId="4" fillId="11" borderId="4" xfId="0" applyNumberFormat="1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vertical="center" wrapText="1"/>
    </xf>
    <xf numFmtId="4" fontId="4" fillId="11" borderId="4" xfId="0" applyNumberFormat="1" applyFont="1" applyFill="1" applyBorder="1" applyAlignment="1">
      <alignment vertical="center"/>
    </xf>
    <xf numFmtId="0" fontId="4" fillId="11" borderId="4" xfId="18" applyFont="1" applyFill="1" applyBorder="1" applyAlignment="1">
      <alignment vertical="center" wrapText="1"/>
    </xf>
    <xf numFmtId="0" fontId="4" fillId="11" borderId="4" xfId="18" applyFont="1" applyFill="1" applyBorder="1" applyAlignment="1">
      <alignment horizontal="center" vertical="center"/>
    </xf>
    <xf numFmtId="4" fontId="4" fillId="11" borderId="4" xfId="18" applyNumberFormat="1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left" vertical="center" wrapText="1"/>
    </xf>
    <xf numFmtId="2" fontId="4" fillId="11" borderId="4" xfId="0" applyNumberFormat="1" applyFont="1" applyFill="1" applyBorder="1" applyAlignment="1">
      <alignment horizontal="center"/>
    </xf>
    <xf numFmtId="4" fontId="4" fillId="11" borderId="4" xfId="16" applyFont="1" applyFill="1" applyBorder="1"/>
    <xf numFmtId="0" fontId="4" fillId="11" borderId="4" xfId="13" applyFont="1" applyFill="1" applyBorder="1" applyAlignment="1">
      <alignment horizontal="left" vertical="center" wrapText="1"/>
    </xf>
    <xf numFmtId="4" fontId="4" fillId="11" borderId="4" xfId="13" applyNumberFormat="1" applyFont="1" applyFill="1" applyBorder="1" applyAlignment="1">
      <alignment horizontal="center" vertical="center"/>
    </xf>
    <xf numFmtId="3" fontId="4" fillId="11" borderId="4" xfId="13" applyNumberFormat="1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4" fillId="9" borderId="38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vertical="center"/>
    </xf>
    <xf numFmtId="0" fontId="4" fillId="9" borderId="39" xfId="0" applyFont="1" applyFill="1" applyBorder="1" applyAlignment="1">
      <alignment horizontal="center" vertical="center"/>
    </xf>
    <xf numFmtId="4" fontId="4" fillId="9" borderId="39" xfId="0" applyNumberFormat="1" applyFont="1" applyFill="1" applyBorder="1" applyAlignment="1">
      <alignment horizontal="center" vertical="center"/>
    </xf>
    <xf numFmtId="4" fontId="4" fillId="9" borderId="39" xfId="16" applyFont="1" applyFill="1" applyBorder="1" applyAlignment="1">
      <alignment vertical="center"/>
    </xf>
    <xf numFmtId="4" fontId="4" fillId="9" borderId="40" xfId="16" applyFont="1" applyFill="1" applyBorder="1" applyAlignment="1">
      <alignment vertical="center"/>
    </xf>
    <xf numFmtId="0" fontId="4" fillId="9" borderId="31" xfId="0" quotePrefix="1" applyFont="1" applyFill="1" applyBorder="1" applyAlignment="1">
      <alignment horizontal="center" vertical="center"/>
    </xf>
    <xf numFmtId="0" fontId="4" fillId="9" borderId="4" xfId="0" applyFont="1" applyFill="1" applyBorder="1" applyAlignment="1">
      <alignment vertical="center"/>
    </xf>
    <xf numFmtId="0" fontId="4" fillId="9" borderId="4" xfId="0" applyFont="1" applyFill="1" applyBorder="1" applyAlignment="1">
      <alignment horizontal="center" vertical="center"/>
    </xf>
    <xf numFmtId="4" fontId="4" fillId="9" borderId="4" xfId="0" applyNumberFormat="1" applyFont="1" applyFill="1" applyBorder="1" applyAlignment="1">
      <alignment horizontal="center" vertical="center"/>
    </xf>
    <xf numFmtId="4" fontId="4" fillId="9" borderId="4" xfId="16" applyFont="1" applyFill="1" applyBorder="1" applyAlignment="1">
      <alignment vertical="center"/>
    </xf>
    <xf numFmtId="4" fontId="4" fillId="9" borderId="32" xfId="16" applyFont="1" applyFill="1" applyBorder="1" applyAlignment="1">
      <alignment vertical="center"/>
    </xf>
    <xf numFmtId="0" fontId="4" fillId="9" borderId="31" xfId="0" applyFont="1" applyFill="1" applyBorder="1" applyAlignment="1">
      <alignment horizontal="center" vertical="center"/>
    </xf>
    <xf numFmtId="0" fontId="3" fillId="9" borderId="31" xfId="0" applyFont="1" applyFill="1" applyBorder="1" applyAlignment="1">
      <alignment horizontal="center" vertical="center"/>
    </xf>
    <xf numFmtId="2" fontId="4" fillId="9" borderId="4" xfId="0" applyNumberFormat="1" applyFont="1" applyFill="1" applyBorder="1" applyAlignment="1">
      <alignment horizontal="center" vertical="center"/>
    </xf>
    <xf numFmtId="0" fontId="4" fillId="9" borderId="4" xfId="13" applyFont="1" applyFill="1" applyBorder="1" applyAlignment="1">
      <alignment vertical="center"/>
    </xf>
    <xf numFmtId="0" fontId="4" fillId="9" borderId="4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9" borderId="31" xfId="18" quotePrefix="1" applyFont="1" applyFill="1" applyBorder="1" applyAlignment="1">
      <alignment horizontal="center" vertical="center"/>
    </xf>
    <xf numFmtId="0" fontId="4" fillId="9" borderId="4" xfId="18" applyFont="1" applyFill="1" applyBorder="1" applyAlignment="1">
      <alignment horizontal="center" vertical="center"/>
    </xf>
    <xf numFmtId="0" fontId="4" fillId="9" borderId="4" xfId="13" applyFont="1" applyFill="1" applyBorder="1"/>
    <xf numFmtId="0" fontId="4" fillId="9" borderId="4" xfId="13" applyFont="1" applyFill="1" applyBorder="1" applyAlignment="1">
      <alignment horizontal="left" vertical="center" wrapText="1"/>
    </xf>
    <xf numFmtId="4" fontId="4" fillId="9" borderId="4" xfId="13" applyNumberFormat="1" applyFont="1" applyFill="1" applyBorder="1" applyAlignment="1">
      <alignment horizontal="center" vertical="center"/>
    </xf>
    <xf numFmtId="0" fontId="4" fillId="9" borderId="55" xfId="0" applyFont="1" applyFill="1" applyBorder="1" applyAlignment="1">
      <alignment horizontal="center" vertical="center"/>
    </xf>
    <xf numFmtId="0" fontId="4" fillId="9" borderId="53" xfId="13" applyFont="1" applyFill="1" applyBorder="1" applyAlignment="1">
      <alignment horizontal="left" vertical="center" wrapText="1"/>
    </xf>
    <xf numFmtId="0" fontId="4" fillId="9" borderId="53" xfId="0" applyFont="1" applyFill="1" applyBorder="1" applyAlignment="1">
      <alignment horizontal="center" vertical="center"/>
    </xf>
    <xf numFmtId="4" fontId="4" fillId="9" borderId="53" xfId="13" applyNumberFormat="1" applyFont="1" applyFill="1" applyBorder="1" applyAlignment="1">
      <alignment horizontal="center" vertical="center"/>
    </xf>
    <xf numFmtId="3" fontId="4" fillId="9" borderId="53" xfId="13" applyNumberFormat="1" applyFont="1" applyFill="1" applyBorder="1" applyAlignment="1">
      <alignment vertical="center"/>
    </xf>
    <xf numFmtId="4" fontId="4" fillId="9" borderId="54" xfId="16" applyFont="1" applyFill="1" applyBorder="1" applyAlignment="1">
      <alignment vertical="center"/>
    </xf>
    <xf numFmtId="0" fontId="4" fillId="9" borderId="0" xfId="0" quotePrefix="1" applyFont="1" applyFill="1" applyBorder="1" applyAlignment="1">
      <alignment horizontal="center" vertical="center"/>
    </xf>
    <xf numFmtId="0" fontId="4" fillId="9" borderId="0" xfId="13" applyFont="1" applyFill="1" applyBorder="1" applyAlignment="1">
      <alignment horizontal="left" vertical="center" wrapText="1"/>
    </xf>
    <xf numFmtId="0" fontId="4" fillId="9" borderId="0" xfId="0" applyFont="1" applyFill="1" applyBorder="1" applyAlignment="1">
      <alignment horizontal="center" vertical="center"/>
    </xf>
    <xf numFmtId="4" fontId="4" fillId="9" borderId="0" xfId="13" applyNumberFormat="1" applyFont="1" applyFill="1" applyBorder="1" applyAlignment="1">
      <alignment horizontal="center" vertical="center"/>
    </xf>
    <xf numFmtId="3" fontId="4" fillId="9" borderId="0" xfId="13" applyNumberFormat="1" applyFont="1" applyFill="1" applyBorder="1" applyAlignment="1">
      <alignment vertical="center"/>
    </xf>
    <xf numFmtId="0" fontId="5" fillId="9" borderId="0" xfId="13" applyFill="1" applyAlignment="1">
      <alignment vertical="center"/>
    </xf>
    <xf numFmtId="0" fontId="5" fillId="9" borderId="0" xfId="13" applyFill="1"/>
    <xf numFmtId="0" fontId="4" fillId="9" borderId="38" xfId="13" applyFont="1" applyFill="1" applyBorder="1" applyAlignment="1">
      <alignment horizontal="center" vertical="center"/>
    </xf>
    <xf numFmtId="0" fontId="4" fillId="9" borderId="31" xfId="13" applyFont="1" applyFill="1" applyBorder="1" applyAlignment="1">
      <alignment horizontal="center" vertical="center"/>
    </xf>
    <xf numFmtId="0" fontId="4" fillId="9" borderId="31" xfId="13" quotePrefix="1" applyFont="1" applyFill="1" applyBorder="1" applyAlignment="1">
      <alignment horizontal="center" vertical="center"/>
    </xf>
    <xf numFmtId="0" fontId="4" fillId="9" borderId="4" xfId="18" applyFont="1" applyFill="1" applyBorder="1" applyAlignment="1">
      <alignment horizontal="center"/>
    </xf>
    <xf numFmtId="4" fontId="4" fillId="9" borderId="4" xfId="18" applyNumberFormat="1" applyFont="1" applyFill="1" applyBorder="1" applyAlignment="1">
      <alignment horizontal="center"/>
    </xf>
    <xf numFmtId="0" fontId="4" fillId="9" borderId="4" xfId="13" applyFont="1" applyFill="1" applyBorder="1" applyAlignment="1">
      <alignment horizontal="left" vertical="center"/>
    </xf>
    <xf numFmtId="0" fontId="4" fillId="9" borderId="4" xfId="13" applyFont="1" applyFill="1" applyBorder="1" applyAlignment="1">
      <alignment horizontal="center" vertical="center"/>
    </xf>
    <xf numFmtId="4" fontId="3" fillId="9" borderId="4" xfId="16" applyFont="1" applyFill="1" applyBorder="1" applyAlignment="1">
      <alignment vertical="center"/>
    </xf>
    <xf numFmtId="4" fontId="4" fillId="9" borderId="4" xfId="13" applyNumberFormat="1" applyFont="1" applyFill="1" applyBorder="1" applyAlignment="1">
      <alignment horizontal="center"/>
    </xf>
    <xf numFmtId="3" fontId="4" fillId="9" borderId="4" xfId="13" applyNumberFormat="1" applyFont="1" applyFill="1" applyBorder="1"/>
    <xf numFmtId="0" fontId="4" fillId="9" borderId="55" xfId="13" quotePrefix="1" applyFont="1" applyFill="1" applyBorder="1" applyAlignment="1">
      <alignment horizontal="center" vertical="center"/>
    </xf>
    <xf numFmtId="4" fontId="4" fillId="9" borderId="53" xfId="16" applyFont="1" applyFill="1" applyBorder="1" applyAlignment="1">
      <alignment vertical="center"/>
    </xf>
    <xf numFmtId="0" fontId="4" fillId="9" borderId="0" xfId="13" applyFont="1" applyFill="1" applyBorder="1" applyAlignment="1">
      <alignment horizontal="center" vertical="center"/>
    </xf>
    <xf numFmtId="0" fontId="38" fillId="9" borderId="0" xfId="13" applyFont="1" applyFill="1" applyBorder="1" applyAlignment="1">
      <alignment horizontal="left" vertical="center" wrapText="1"/>
    </xf>
    <xf numFmtId="0" fontId="4" fillId="11" borderId="39" xfId="0" applyFont="1" applyFill="1" applyBorder="1" applyAlignment="1">
      <alignment vertical="center"/>
    </xf>
    <xf numFmtId="0" fontId="4" fillId="11" borderId="39" xfId="0" applyFont="1" applyFill="1" applyBorder="1" applyAlignment="1">
      <alignment horizontal="center" vertical="center"/>
    </xf>
    <xf numFmtId="4" fontId="4" fillId="11" borderId="39" xfId="13" applyNumberFormat="1" applyFont="1" applyFill="1" applyBorder="1" applyAlignment="1">
      <alignment horizontal="center" vertical="center"/>
    </xf>
    <xf numFmtId="4" fontId="4" fillId="11" borderId="39" xfId="16" applyFont="1" applyFill="1" applyBorder="1" applyAlignment="1">
      <alignment vertical="center"/>
    </xf>
    <xf numFmtId="164" fontId="27" fillId="9" borderId="35" xfId="2" applyFont="1" applyFill="1" applyBorder="1"/>
    <xf numFmtId="0" fontId="4" fillId="11" borderId="4" xfId="13" applyFont="1" applyFill="1" applyBorder="1"/>
    <xf numFmtId="4" fontId="4" fillId="11" borderId="4" xfId="13" applyNumberFormat="1" applyFont="1" applyFill="1" applyBorder="1" applyAlignment="1">
      <alignment horizontal="center"/>
    </xf>
    <xf numFmtId="0" fontId="4" fillId="11" borderId="4" xfId="13" applyFont="1" applyFill="1" applyBorder="1" applyAlignment="1">
      <alignment horizontal="center" vertical="center"/>
    </xf>
    <xf numFmtId="0" fontId="4" fillId="11" borderId="4" xfId="13" applyFont="1" applyFill="1" applyBorder="1" applyAlignment="1">
      <alignment vertical="center" wrapText="1"/>
    </xf>
    <xf numFmtId="0" fontId="4" fillId="11" borderId="4" xfId="0" applyFont="1" applyFill="1" applyBorder="1"/>
    <xf numFmtId="4" fontId="3" fillId="11" borderId="4" xfId="16" applyFont="1" applyFill="1" applyBorder="1" applyAlignment="1">
      <alignment vertical="center"/>
    </xf>
    <xf numFmtId="39" fontId="21" fillId="9" borderId="4" xfId="0" applyNumberFormat="1" applyFont="1" applyFill="1" applyBorder="1" applyAlignment="1">
      <alignment vertical="center"/>
    </xf>
    <xf numFmtId="0" fontId="6" fillId="9" borderId="15" xfId="0" applyFont="1" applyFill="1" applyBorder="1" applyAlignment="1">
      <alignment wrapText="1"/>
    </xf>
    <xf numFmtId="0" fontId="6" fillId="11" borderId="15" xfId="0" applyFont="1" applyFill="1" applyBorder="1" applyAlignment="1">
      <alignment wrapText="1"/>
    </xf>
    <xf numFmtId="0" fontId="6" fillId="11" borderId="15" xfId="0" applyFont="1" applyFill="1" applyBorder="1" applyAlignment="1">
      <alignment horizontal="center"/>
    </xf>
    <xf numFmtId="2" fontId="6" fillId="11" borderId="15" xfId="0" applyNumberFormat="1" applyFont="1" applyFill="1" applyBorder="1" applyAlignment="1">
      <alignment horizontal="center"/>
    </xf>
    <xf numFmtId="44" fontId="6" fillId="11" borderId="15" xfId="1" applyFont="1" applyFill="1" applyBorder="1"/>
    <xf numFmtId="0" fontId="6" fillId="9" borderId="15" xfId="0" applyFont="1" applyFill="1" applyBorder="1"/>
    <xf numFmtId="0" fontId="6" fillId="9" borderId="15" xfId="0" applyNumberFormat="1" applyFont="1" applyFill="1" applyBorder="1"/>
    <xf numFmtId="4" fontId="6" fillId="9" borderId="15" xfId="1" applyNumberFormat="1" applyFont="1" applyFill="1" applyBorder="1"/>
    <xf numFmtId="44" fontId="2" fillId="9" borderId="35" xfId="1" applyFont="1" applyFill="1" applyBorder="1"/>
    <xf numFmtId="0" fontId="6" fillId="0" borderId="0" xfId="0" applyFont="1" applyFill="1" applyAlignment="1">
      <alignment horizontal="center" vertical="top"/>
    </xf>
    <xf numFmtId="0" fontId="6" fillId="11" borderId="15" xfId="0" applyFont="1" applyFill="1" applyBorder="1" applyAlignment="1">
      <alignment vertical="center" wrapText="1"/>
    </xf>
    <xf numFmtId="0" fontId="6" fillId="11" borderId="15" xfId="0" applyFont="1" applyFill="1" applyBorder="1" applyAlignment="1">
      <alignment horizontal="center" vertical="center"/>
    </xf>
    <xf numFmtId="2" fontId="6" fillId="11" borderId="15" xfId="0" applyNumberFormat="1" applyFont="1" applyFill="1" applyBorder="1" applyAlignment="1">
      <alignment horizontal="center" vertical="center"/>
    </xf>
    <xf numFmtId="44" fontId="6" fillId="11" borderId="15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5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9" borderId="34" xfId="0" applyFont="1" applyFill="1" applyBorder="1" applyAlignment="1">
      <alignment horizontal="center" vertical="center" wrapText="1"/>
    </xf>
    <xf numFmtId="0" fontId="6" fillId="0" borderId="11" xfId="0" applyFont="1" applyFill="1" applyBorder="1"/>
    <xf numFmtId="0" fontId="21" fillId="0" borderId="4" xfId="0" applyFont="1" applyBorder="1"/>
    <xf numFmtId="0" fontId="6" fillId="0" borderId="12" xfId="0" applyFont="1" applyFill="1" applyBorder="1" applyAlignment="1">
      <alignment wrapText="1"/>
    </xf>
    <xf numFmtId="2" fontId="39" fillId="0" borderId="4" xfId="5" applyNumberFormat="1" applyFont="1" applyBorder="1" applyAlignment="1">
      <alignment horizontal="center" vertical="center" wrapText="1"/>
    </xf>
    <xf numFmtId="168" fontId="40" fillId="0" borderId="4" xfId="5" applyNumberFormat="1" applyFont="1" applyBorder="1" applyAlignment="1">
      <alignment vertical="center" wrapText="1"/>
    </xf>
    <xf numFmtId="43" fontId="40" fillId="0" borderId="4" xfId="35" applyNumberFormat="1" applyFont="1" applyFill="1" applyBorder="1" applyAlignment="1">
      <alignment horizontal="center" vertical="center" wrapText="1"/>
    </xf>
    <xf numFmtId="2" fontId="40" fillId="0" borderId="4" xfId="5" applyNumberFormat="1" applyFont="1" applyBorder="1" applyAlignment="1">
      <alignment horizontal="center" vertical="center" wrapText="1"/>
    </xf>
    <xf numFmtId="184" fontId="40" fillId="0" borderId="4" xfId="34" applyNumberFormat="1" applyFont="1" applyFill="1" applyBorder="1" applyAlignment="1">
      <alignment vertical="center" wrapText="1"/>
    </xf>
    <xf numFmtId="184" fontId="41" fillId="0" borderId="4" xfId="34" applyNumberFormat="1" applyFont="1" applyFill="1" applyBorder="1" applyAlignment="1">
      <alignment vertical="center"/>
    </xf>
    <xf numFmtId="0" fontId="40" fillId="0" borderId="4" xfId="5" applyFont="1" applyBorder="1" applyAlignment="1">
      <alignment horizontal="center" vertical="center" wrapText="1"/>
    </xf>
    <xf numFmtId="0" fontId="21" fillId="0" borderId="4" xfId="0" applyFont="1" applyBorder="1" applyAlignment="1">
      <alignment wrapText="1"/>
    </xf>
    <xf numFmtId="0" fontId="42" fillId="0" borderId="33" xfId="0" applyFont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42" fillId="0" borderId="69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0" borderId="68" xfId="0" applyFont="1" applyBorder="1" applyAlignment="1">
      <alignment horizontal="center" vertical="center"/>
    </xf>
    <xf numFmtId="0" fontId="0" fillId="0" borderId="0" xfId="0" applyBorder="1"/>
    <xf numFmtId="44" fontId="0" fillId="0" borderId="0" xfId="1" applyFont="1" applyBorder="1"/>
    <xf numFmtId="0" fontId="23" fillId="0" borderId="14" xfId="0" applyFont="1" applyBorder="1" applyAlignment="1">
      <alignment horizontal="left" vertical="center"/>
    </xf>
    <xf numFmtId="0" fontId="22" fillId="0" borderId="14" xfId="0" applyFont="1" applyBorder="1" applyAlignment="1">
      <alignment horizontal="center"/>
    </xf>
    <xf numFmtId="44" fontId="22" fillId="0" borderId="14" xfId="1" applyFont="1" applyBorder="1" applyAlignment="1">
      <alignment horizontal="center"/>
    </xf>
    <xf numFmtId="44" fontId="22" fillId="0" borderId="37" xfId="1" applyFont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22" fillId="0" borderId="4" xfId="0" applyFont="1" applyBorder="1" applyAlignment="1">
      <alignment horizontal="right"/>
    </xf>
    <xf numFmtId="44" fontId="22" fillId="0" borderId="4" xfId="1" applyFont="1" applyBorder="1"/>
    <xf numFmtId="44" fontId="22" fillId="0" borderId="32" xfId="1" applyFont="1" applyBorder="1"/>
    <xf numFmtId="0" fontId="22" fillId="0" borderId="31" xfId="0" applyFont="1" applyBorder="1"/>
    <xf numFmtId="0" fontId="22" fillId="0" borderId="12" xfId="0" applyFont="1" applyBorder="1"/>
    <xf numFmtId="0" fontId="22" fillId="0" borderId="69" xfId="0" applyFont="1" applyBorder="1"/>
    <xf numFmtId="44" fontId="22" fillId="0" borderId="13" xfId="1" applyFont="1" applyBorder="1"/>
    <xf numFmtId="0" fontId="23" fillId="0" borderId="11" xfId="0" applyFont="1" applyBorder="1"/>
    <xf numFmtId="0" fontId="23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/>
    <xf numFmtId="44" fontId="22" fillId="0" borderId="14" xfId="1" applyFont="1" applyBorder="1"/>
    <xf numFmtId="0" fontId="22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vertical="center"/>
    </xf>
    <xf numFmtId="44" fontId="22" fillId="0" borderId="32" xfId="1" applyFont="1" applyBorder="1" applyAlignment="1">
      <alignment horizontal="center" vertical="center"/>
    </xf>
    <xf numFmtId="2" fontId="22" fillId="0" borderId="4" xfId="0" applyNumberFormat="1" applyFont="1" applyBorder="1"/>
    <xf numFmtId="0" fontId="22" fillId="0" borderId="45" xfId="0" applyFont="1" applyBorder="1"/>
    <xf numFmtId="0" fontId="22" fillId="0" borderId="15" xfId="0" applyFont="1" applyBorder="1"/>
    <xf numFmtId="44" fontId="22" fillId="0" borderId="15" xfId="1" applyFont="1" applyBorder="1"/>
    <xf numFmtId="44" fontId="22" fillId="0" borderId="59" xfId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3" fillId="0" borderId="55" xfId="0" applyFont="1" applyBorder="1"/>
    <xf numFmtId="0" fontId="22" fillId="0" borderId="53" xfId="0" applyFont="1" applyBorder="1"/>
    <xf numFmtId="44" fontId="22" fillId="0" borderId="54" xfId="1" applyFont="1" applyBorder="1" applyAlignment="1">
      <alignment horizontal="center" vertical="center"/>
    </xf>
    <xf numFmtId="2" fontId="22" fillId="0" borderId="15" xfId="0" applyNumberFormat="1" applyFont="1" applyBorder="1"/>
    <xf numFmtId="44" fontId="0" fillId="0" borderId="0" xfId="0" applyNumberFormat="1" applyAlignment="1">
      <alignment vertical="center"/>
    </xf>
    <xf numFmtId="0" fontId="6" fillId="0" borderId="31" xfId="0" quotePrefix="1" applyFont="1" applyFill="1" applyBorder="1" applyAlignment="1">
      <alignment horizontal="center" vertical="center"/>
    </xf>
    <xf numFmtId="39" fontId="21" fillId="0" borderId="53" xfId="0" applyNumberFormat="1" applyFont="1" applyFill="1" applyBorder="1" applyAlignment="1">
      <alignment vertical="center"/>
    </xf>
    <xf numFmtId="39" fontId="21" fillId="0" borderId="53" xfId="0" applyNumberFormat="1" applyFont="1" applyFill="1" applyBorder="1" applyAlignment="1">
      <alignment horizontal="center" wrapText="1"/>
    </xf>
    <xf numFmtId="0" fontId="0" fillId="9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33" xfId="0" applyFont="1" applyFill="1" applyBorder="1" applyAlignment="1">
      <alignment vertical="center" wrapText="1"/>
    </xf>
    <xf numFmtId="0" fontId="6" fillId="0" borderId="38" xfId="18" applyFont="1" applyFill="1" applyBorder="1" applyAlignment="1">
      <alignment horizontal="center"/>
    </xf>
    <xf numFmtId="0" fontId="6" fillId="0" borderId="39" xfId="0" applyFont="1" applyFill="1" applyBorder="1" applyAlignment="1">
      <alignment vertical="center" wrapText="1"/>
    </xf>
    <xf numFmtId="0" fontId="6" fillId="0" borderId="39" xfId="18" applyFont="1" applyFill="1" applyBorder="1" applyAlignment="1">
      <alignment horizontal="center" vertical="center"/>
    </xf>
    <xf numFmtId="4" fontId="6" fillId="0" borderId="39" xfId="18" applyNumberFormat="1" applyFont="1" applyFill="1" applyBorder="1" applyAlignment="1">
      <alignment horizontal="center" vertical="center"/>
    </xf>
    <xf numFmtId="44" fontId="6" fillId="0" borderId="43" xfId="1" applyFont="1" applyFill="1" applyBorder="1" applyAlignment="1">
      <alignment vertical="center"/>
    </xf>
    <xf numFmtId="0" fontId="6" fillId="0" borderId="4" xfId="18" applyFont="1" applyFill="1" applyBorder="1" applyAlignment="1">
      <alignment horizontal="center" vertical="center"/>
    </xf>
    <xf numFmtId="4" fontId="6" fillId="0" borderId="4" xfId="18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vertical="center" wrapText="1"/>
    </xf>
    <xf numFmtId="4" fontId="6" fillId="0" borderId="4" xfId="18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wrapText="1"/>
    </xf>
    <xf numFmtId="44" fontId="21" fillId="0" borderId="27" xfId="1" applyFont="1" applyFill="1" applyBorder="1"/>
    <xf numFmtId="0" fontId="6" fillId="0" borderId="45" xfId="18" applyFont="1" applyFill="1" applyBorder="1" applyAlignment="1">
      <alignment horizontal="center"/>
    </xf>
    <xf numFmtId="4" fontId="6" fillId="0" borderId="15" xfId="13" applyNumberFormat="1" applyFont="1" applyFill="1" applyBorder="1" applyAlignment="1">
      <alignment horizontal="center" vertical="center"/>
    </xf>
    <xf numFmtId="44" fontId="6" fillId="0" borderId="16" xfId="1" applyFont="1" applyFill="1" applyBorder="1" applyAlignment="1">
      <alignment vertical="center"/>
    </xf>
    <xf numFmtId="44" fontId="2" fillId="0" borderId="21" xfId="1" applyFont="1" applyFill="1" applyBorder="1" applyAlignment="1">
      <alignment horizontal="right" vertical="center"/>
    </xf>
    <xf numFmtId="44" fontId="21" fillId="0" borderId="4" xfId="1" applyFont="1" applyFill="1" applyBorder="1"/>
    <xf numFmtId="0" fontId="6" fillId="0" borderId="36" xfId="18" applyFont="1" applyFill="1" applyBorder="1" applyAlignment="1">
      <alignment horizontal="center"/>
    </xf>
    <xf numFmtId="0" fontId="6" fillId="0" borderId="14" xfId="0" applyFont="1" applyFill="1" applyBorder="1" applyAlignment="1">
      <alignment vertical="center" wrapText="1"/>
    </xf>
    <xf numFmtId="0" fontId="6" fillId="0" borderId="14" xfId="18" applyFont="1" applyFill="1" applyBorder="1" applyAlignment="1">
      <alignment horizontal="center" vertical="center"/>
    </xf>
    <xf numFmtId="4" fontId="6" fillId="0" borderId="14" xfId="18" applyNumberFormat="1" applyFont="1" applyFill="1" applyBorder="1" applyAlignment="1">
      <alignment horizontal="center" vertical="center"/>
    </xf>
    <xf numFmtId="44" fontId="6" fillId="0" borderId="14" xfId="1" applyFont="1" applyFill="1" applyBorder="1" applyAlignment="1">
      <alignment vertical="center"/>
    </xf>
    <xf numFmtId="185" fontId="6" fillId="0" borderId="4" xfId="18" applyNumberFormat="1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left"/>
    </xf>
    <xf numFmtId="39" fontId="6" fillId="0" borderId="53" xfId="0" applyNumberFormat="1" applyFont="1" applyFill="1" applyBorder="1" applyAlignment="1">
      <alignment horizontal="center"/>
    </xf>
    <xf numFmtId="4" fontId="2" fillId="0" borderId="35" xfId="1" applyNumberFormat="1" applyFont="1" applyFill="1" applyBorder="1" applyAlignment="1">
      <alignment horizontal="right" vertical="center"/>
    </xf>
    <xf numFmtId="0" fontId="6" fillId="0" borderId="0" xfId="18" applyFont="1" applyFill="1"/>
    <xf numFmtId="0" fontId="6" fillId="0" borderId="0" xfId="18" applyFont="1" applyFill="1" applyAlignment="1">
      <alignment wrapText="1"/>
    </xf>
    <xf numFmtId="0" fontId="6" fillId="0" borderId="4" xfId="20" applyFont="1" applyBorder="1" applyAlignment="1">
      <alignment horizontal="center" vertical="center" wrapText="1"/>
    </xf>
    <xf numFmtId="2" fontId="6" fillId="0" borderId="4" xfId="20" applyNumberFormat="1" applyFont="1" applyFill="1" applyBorder="1" applyAlignment="1">
      <alignment horizontal="center" vertical="center" wrapText="1"/>
    </xf>
    <xf numFmtId="0" fontId="6" fillId="0" borderId="4" xfId="20" applyFont="1" applyFill="1" applyBorder="1" applyAlignment="1">
      <alignment horizontal="left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39" fontId="4" fillId="0" borderId="4" xfId="0" applyNumberFormat="1" applyFont="1" applyFill="1" applyBorder="1" applyAlignment="1">
      <alignment horizontal="left" vertical="center" wrapText="1"/>
    </xf>
    <xf numFmtId="39" fontId="4" fillId="0" borderId="4" xfId="0" applyNumberFormat="1" applyFont="1" applyFill="1" applyBorder="1" applyAlignment="1">
      <alignment wrapText="1"/>
    </xf>
    <xf numFmtId="165" fontId="6" fillId="0" borderId="4" xfId="0" applyNumberFormat="1" applyFont="1" applyFill="1" applyBorder="1" applyAlignment="1">
      <alignment horizontal="center" vertical="center"/>
    </xf>
    <xf numFmtId="44" fontId="6" fillId="0" borderId="53" xfId="1" applyFont="1" applyFill="1" applyBorder="1" applyAlignment="1">
      <alignment vertical="center"/>
    </xf>
    <xf numFmtId="0" fontId="6" fillId="0" borderId="0" xfId="18" quotePrefix="1" applyFont="1" applyFill="1" applyAlignment="1">
      <alignment horizontal="center" vertical="center"/>
    </xf>
    <xf numFmtId="0" fontId="6" fillId="0" borderId="0" xfId="18" applyFont="1" applyFill="1" applyAlignment="1">
      <alignment horizontal="left" vertical="center" wrapText="1"/>
    </xf>
    <xf numFmtId="0" fontId="6" fillId="0" borderId="0" xfId="18" applyFont="1" applyFill="1" applyAlignment="1">
      <alignment horizontal="center" vertical="center"/>
    </xf>
    <xf numFmtId="3" fontId="6" fillId="0" borderId="0" xfId="18" applyNumberFormat="1" applyFont="1" applyFill="1" applyAlignment="1">
      <alignment vertical="center"/>
    </xf>
    <xf numFmtId="0" fontId="6" fillId="0" borderId="15" xfId="13" applyFont="1" applyFill="1" applyBorder="1" applyAlignment="1">
      <alignment horizontal="center"/>
    </xf>
    <xf numFmtId="4" fontId="6" fillId="0" borderId="15" xfId="13" applyNumberFormat="1" applyFont="1" applyFill="1" applyBorder="1" applyAlignment="1">
      <alignment horizontal="center"/>
    </xf>
    <xf numFmtId="0" fontId="6" fillId="0" borderId="45" xfId="26" applyFont="1" applyFill="1" applyBorder="1" applyAlignment="1">
      <alignment horizontal="center"/>
    </xf>
    <xf numFmtId="4" fontId="2" fillId="0" borderId="21" xfId="1" applyNumberFormat="1" applyFont="1" applyFill="1" applyBorder="1" applyAlignment="1">
      <alignment vertical="center"/>
    </xf>
    <xf numFmtId="0" fontId="21" fillId="0" borderId="38" xfId="0" applyFont="1" applyFill="1" applyBorder="1"/>
    <xf numFmtId="0" fontId="7" fillId="0" borderId="4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/>
    </xf>
    <xf numFmtId="4" fontId="7" fillId="0" borderId="32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vertical="center" wrapText="1"/>
    </xf>
    <xf numFmtId="4" fontId="21" fillId="0" borderId="4" xfId="0" applyNumberFormat="1" applyFont="1" applyFill="1" applyBorder="1" applyAlignment="1">
      <alignment horizontal="center" vertical="center"/>
    </xf>
    <xf numFmtId="44" fontId="21" fillId="0" borderId="4" xfId="1" applyFont="1" applyFill="1" applyBorder="1" applyAlignment="1">
      <alignment vertical="center"/>
    </xf>
    <xf numFmtId="44" fontId="21" fillId="0" borderId="32" xfId="1" applyFont="1" applyFill="1" applyBorder="1" applyAlignment="1">
      <alignment vertical="center"/>
    </xf>
    <xf numFmtId="0" fontId="7" fillId="0" borderId="45" xfId="0" applyFont="1" applyFill="1" applyBorder="1" applyAlignment="1">
      <alignment horizontal="center"/>
    </xf>
    <xf numFmtId="0" fontId="21" fillId="0" borderId="15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horizontal="center"/>
    </xf>
    <xf numFmtId="2" fontId="21" fillId="0" borderId="15" xfId="0" applyNumberFormat="1" applyFont="1" applyFill="1" applyBorder="1" applyAlignment="1">
      <alignment horizontal="center" vertical="center"/>
    </xf>
    <xf numFmtId="44" fontId="21" fillId="0" borderId="15" xfId="1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39" fontId="21" fillId="0" borderId="4" xfId="0" applyNumberFormat="1" applyFont="1" applyFill="1" applyBorder="1" applyAlignment="1">
      <alignment vertical="center"/>
    </xf>
    <xf numFmtId="0" fontId="27" fillId="0" borderId="68" xfId="0" applyFont="1" applyFill="1" applyBorder="1" applyAlignment="1">
      <alignment horizontal="left" vertical="center"/>
    </xf>
    <xf numFmtId="0" fontId="27" fillId="0" borderId="69" xfId="0" applyFont="1" applyFill="1" applyBorder="1" applyAlignment="1">
      <alignment horizontal="left" vertical="center"/>
    </xf>
    <xf numFmtId="44" fontId="2" fillId="0" borderId="21" xfId="1" applyFont="1" applyFill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88" fontId="17" fillId="0" borderId="0" xfId="18" applyNumberFormat="1" applyFont="1"/>
    <xf numFmtId="10" fontId="17" fillId="0" borderId="0" xfId="38" applyNumberFormat="1" applyFont="1"/>
    <xf numFmtId="184" fontId="0" fillId="0" borderId="0" xfId="0" applyNumberFormat="1"/>
    <xf numFmtId="44" fontId="17" fillId="0" borderId="0" xfId="1" applyFont="1"/>
    <xf numFmtId="0" fontId="2" fillId="12" borderId="57" xfId="20" applyFont="1" applyFill="1" applyBorder="1" applyAlignment="1">
      <alignment horizontal="center" vertical="center"/>
    </xf>
    <xf numFmtId="0" fontId="2" fillId="12" borderId="5" xfId="20" applyFont="1" applyFill="1" applyBorder="1" applyAlignment="1">
      <alignment horizontal="center" vertical="center" wrapText="1"/>
    </xf>
    <xf numFmtId="0" fontId="2" fillId="12" borderId="56" xfId="20" applyFont="1" applyFill="1" applyBorder="1" applyAlignment="1">
      <alignment horizontal="center" vertical="center" wrapText="1"/>
    </xf>
    <xf numFmtId="0" fontId="18" fillId="12" borderId="31" xfId="18" applyFont="1" applyFill="1" applyBorder="1" applyAlignment="1">
      <alignment horizontal="center" vertical="center" wrapText="1"/>
    </xf>
    <xf numFmtId="0" fontId="4" fillId="12" borderId="4" xfId="13" applyFont="1" applyFill="1" applyBorder="1" applyAlignment="1">
      <alignment vertical="center" wrapText="1"/>
    </xf>
    <xf numFmtId="0" fontId="3" fillId="12" borderId="4" xfId="0" applyFont="1" applyFill="1" applyBorder="1" applyAlignment="1">
      <alignment horizontal="center" vertical="center"/>
    </xf>
    <xf numFmtId="165" fontId="3" fillId="12" borderId="4" xfId="0" applyNumberFormat="1" applyFont="1" applyFill="1" applyBorder="1" applyAlignment="1">
      <alignment horizontal="center" vertical="center" wrapText="1"/>
    </xf>
    <xf numFmtId="44" fontId="3" fillId="12" borderId="4" xfId="1" applyFont="1" applyFill="1" applyBorder="1" applyAlignment="1">
      <alignment horizontal="center" vertical="center"/>
    </xf>
    <xf numFmtId="44" fontId="3" fillId="12" borderId="32" xfId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left" vertical="center" wrapText="1"/>
    </xf>
    <xf numFmtId="165" fontId="4" fillId="12" borderId="4" xfId="0" applyNumberFormat="1" applyFont="1" applyFill="1" applyBorder="1" applyAlignment="1">
      <alignment horizontal="center" vertical="center"/>
    </xf>
    <xf numFmtId="165" fontId="4" fillId="12" borderId="15" xfId="0" applyNumberFormat="1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0" fillId="12" borderId="4" xfId="0" applyFill="1" applyBorder="1" applyAlignment="1">
      <alignment horizontal="center"/>
    </xf>
    <xf numFmtId="2" fontId="3" fillId="12" borderId="4" xfId="0" applyNumberFormat="1" applyFont="1" applyFill="1" applyBorder="1" applyAlignment="1">
      <alignment horizontal="center" vertical="center"/>
    </xf>
    <xf numFmtId="0" fontId="4" fillId="12" borderId="15" xfId="13" applyFont="1" applyFill="1" applyBorder="1" applyAlignment="1">
      <alignment vertical="center" wrapText="1"/>
    </xf>
    <xf numFmtId="165" fontId="3" fillId="12" borderId="15" xfId="0" applyNumberFormat="1" applyFont="1" applyFill="1" applyBorder="1" applyAlignment="1">
      <alignment horizontal="center" vertical="center" wrapText="1"/>
    </xf>
    <xf numFmtId="44" fontId="3" fillId="12" borderId="59" xfId="1" applyFont="1" applyFill="1" applyBorder="1" applyAlignment="1">
      <alignment horizontal="center" vertical="center"/>
    </xf>
    <xf numFmtId="0" fontId="4" fillId="12" borderId="53" xfId="0" applyFont="1" applyFill="1" applyBorder="1" applyAlignment="1">
      <alignment horizontal="left" vertical="center" wrapText="1"/>
    </xf>
    <xf numFmtId="0" fontId="4" fillId="12" borderId="53" xfId="0" applyFont="1" applyFill="1" applyBorder="1" applyAlignment="1">
      <alignment horizontal="center" vertical="center"/>
    </xf>
    <xf numFmtId="165" fontId="4" fillId="12" borderId="53" xfId="0" applyNumberFormat="1" applyFont="1" applyFill="1" applyBorder="1" applyAlignment="1">
      <alignment horizontal="center" vertical="center"/>
    </xf>
    <xf numFmtId="44" fontId="4" fillId="12" borderId="54" xfId="1" applyFont="1" applyFill="1" applyBorder="1" applyAlignment="1">
      <alignment horizontal="center" vertical="center"/>
    </xf>
    <xf numFmtId="0" fontId="6" fillId="12" borderId="0" xfId="20" applyFont="1" applyFill="1" applyAlignment="1">
      <alignment wrapText="1"/>
    </xf>
    <xf numFmtId="0" fontId="2" fillId="12" borderId="0" xfId="20" applyFont="1" applyFill="1" applyAlignment="1">
      <alignment horizontal="center" wrapText="1"/>
    </xf>
    <xf numFmtId="0" fontId="6" fillId="12" borderId="41" xfId="20" applyFont="1" applyFill="1" applyBorder="1" applyAlignment="1">
      <alignment vertical="center" wrapText="1"/>
    </xf>
    <xf numFmtId="0" fontId="2" fillId="12" borderId="38" xfId="20" applyFont="1" applyFill="1" applyBorder="1" applyAlignment="1">
      <alignment vertical="center" wrapText="1"/>
    </xf>
    <xf numFmtId="0" fontId="6" fillId="12" borderId="39" xfId="20" applyFont="1" applyFill="1" applyBorder="1" applyAlignment="1">
      <alignment horizontal="center" vertical="center" wrapText="1"/>
    </xf>
    <xf numFmtId="0" fontId="6" fillId="12" borderId="39" xfId="20" applyFont="1" applyFill="1" applyBorder="1" applyAlignment="1">
      <alignment vertical="center" wrapText="1"/>
    </xf>
    <xf numFmtId="174" fontId="2" fillId="12" borderId="40" xfId="22" applyNumberFormat="1" applyFont="1" applyFill="1" applyBorder="1" applyAlignment="1">
      <alignment horizontal="center" vertical="center" wrapText="1"/>
    </xf>
    <xf numFmtId="0" fontId="6" fillId="12" borderId="48" xfId="20" applyFont="1" applyFill="1" applyBorder="1" applyAlignment="1">
      <alignment vertical="center" wrapText="1"/>
    </xf>
    <xf numFmtId="0" fontId="2" fillId="12" borderId="31" xfId="20" applyFont="1" applyFill="1" applyBorder="1" applyAlignment="1">
      <alignment vertical="center" wrapText="1"/>
    </xf>
    <xf numFmtId="0" fontId="2" fillId="12" borderId="4" xfId="20" applyFont="1" applyFill="1" applyBorder="1" applyAlignment="1">
      <alignment horizontal="center" vertical="center" wrapText="1"/>
    </xf>
    <xf numFmtId="186" fontId="2" fillId="12" borderId="4" xfId="20" applyNumberFormat="1" applyFont="1" applyFill="1" applyBorder="1" applyAlignment="1">
      <alignment horizontal="center" vertical="center" wrapText="1"/>
    </xf>
    <xf numFmtId="166" fontId="6" fillId="12" borderId="4" xfId="20" applyNumberFormat="1" applyFont="1" applyFill="1" applyBorder="1" applyAlignment="1">
      <alignment vertical="center" wrapText="1"/>
    </xf>
    <xf numFmtId="174" fontId="2" fillId="12" borderId="32" xfId="22" applyNumberFormat="1" applyFont="1" applyFill="1" applyBorder="1" applyAlignment="1">
      <alignment horizontal="center" vertical="center" wrapText="1"/>
    </xf>
    <xf numFmtId="186" fontId="2" fillId="12" borderId="4" xfId="15" applyNumberFormat="1" applyFont="1" applyFill="1" applyBorder="1" applyAlignment="1">
      <alignment horizontal="center" vertical="center" wrapText="1"/>
    </xf>
    <xf numFmtId="0" fontId="6" fillId="12" borderId="50" xfId="20" applyFont="1" applyFill="1" applyBorder="1" applyAlignment="1">
      <alignment vertical="center" wrapText="1"/>
    </xf>
    <xf numFmtId="0" fontId="2" fillId="12" borderId="55" xfId="20" applyFont="1" applyFill="1" applyBorder="1" applyAlignment="1">
      <alignment vertical="center" wrapText="1"/>
    </xf>
    <xf numFmtId="0" fontId="2" fillId="12" borderId="53" xfId="20" applyFont="1" applyFill="1" applyBorder="1" applyAlignment="1">
      <alignment vertical="center" wrapText="1"/>
    </xf>
    <xf numFmtId="174" fontId="2" fillId="12" borderId="54" xfId="22" applyNumberFormat="1" applyFont="1" applyFill="1" applyBorder="1" applyAlignment="1">
      <alignment horizontal="center" vertical="center" wrapText="1"/>
    </xf>
    <xf numFmtId="0" fontId="2" fillId="13" borderId="57" xfId="20" applyFont="1" applyFill="1" applyBorder="1" applyAlignment="1">
      <alignment horizontal="center" vertical="center"/>
    </xf>
    <xf numFmtId="0" fontId="2" fillId="13" borderId="5" xfId="20" applyFont="1" applyFill="1" applyBorder="1" applyAlignment="1">
      <alignment horizontal="center" vertical="center" wrapText="1"/>
    </xf>
    <xf numFmtId="0" fontId="2" fillId="13" borderId="56" xfId="20" applyFont="1" applyFill="1" applyBorder="1" applyAlignment="1">
      <alignment horizontal="center" vertical="center" wrapText="1"/>
    </xf>
    <xf numFmtId="0" fontId="18" fillId="13" borderId="31" xfId="18" applyFont="1" applyFill="1" applyBorder="1" applyAlignment="1">
      <alignment horizontal="center" vertical="center" wrapText="1"/>
    </xf>
    <xf numFmtId="0" fontId="4" fillId="13" borderId="4" xfId="13" applyFont="1" applyFill="1" applyBorder="1" applyAlignment="1">
      <alignment vertical="center" wrapText="1"/>
    </xf>
    <xf numFmtId="0" fontId="3" fillId="13" borderId="4" xfId="0" applyFont="1" applyFill="1" applyBorder="1" applyAlignment="1">
      <alignment horizontal="center" vertical="center"/>
    </xf>
    <xf numFmtId="165" fontId="3" fillId="13" borderId="4" xfId="0" applyNumberFormat="1" applyFont="1" applyFill="1" applyBorder="1" applyAlignment="1">
      <alignment horizontal="center" vertical="center" wrapText="1"/>
    </xf>
    <xf numFmtId="44" fontId="3" fillId="13" borderId="4" xfId="1" applyFont="1" applyFill="1" applyBorder="1" applyAlignment="1">
      <alignment horizontal="center" vertical="center"/>
    </xf>
    <xf numFmtId="44" fontId="3" fillId="13" borderId="32" xfId="1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left" vertical="center" wrapText="1"/>
    </xf>
    <xf numFmtId="165" fontId="4" fillId="13" borderId="4" xfId="0" applyNumberFormat="1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/>
    </xf>
    <xf numFmtId="165" fontId="4" fillId="13" borderId="15" xfId="0" applyNumberFormat="1" applyFont="1" applyFill="1" applyBorder="1" applyAlignment="1">
      <alignment horizontal="center" vertical="center"/>
    </xf>
    <xf numFmtId="0" fontId="0" fillId="13" borderId="4" xfId="0" applyFill="1" applyBorder="1" applyAlignment="1">
      <alignment horizontal="center"/>
    </xf>
    <xf numFmtId="2" fontId="3" fillId="13" borderId="4" xfId="0" applyNumberFormat="1" applyFont="1" applyFill="1" applyBorder="1" applyAlignment="1">
      <alignment horizontal="center" vertical="center"/>
    </xf>
    <xf numFmtId="44" fontId="3" fillId="13" borderId="59" xfId="1" applyFont="1" applyFill="1" applyBorder="1" applyAlignment="1">
      <alignment horizontal="center" vertical="center"/>
    </xf>
    <xf numFmtId="0" fontId="4" fillId="13" borderId="15" xfId="0" applyFont="1" applyFill="1" applyBorder="1" applyAlignment="1">
      <alignment horizontal="left" vertical="center" wrapText="1"/>
    </xf>
    <xf numFmtId="0" fontId="4" fillId="13" borderId="15" xfId="0" applyFont="1" applyFill="1" applyBorder="1" applyAlignment="1">
      <alignment horizontal="center" vertical="center"/>
    </xf>
    <xf numFmtId="44" fontId="4" fillId="13" borderId="59" xfId="1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horizontal="left" vertical="center" wrapText="1"/>
    </xf>
    <xf numFmtId="44" fontId="4" fillId="13" borderId="32" xfId="1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left" vertical="center" wrapText="1"/>
    </xf>
    <xf numFmtId="165" fontId="4" fillId="13" borderId="12" xfId="0" applyNumberFormat="1" applyFont="1" applyFill="1" applyBorder="1" applyAlignment="1">
      <alignment horizontal="center" vertical="center"/>
    </xf>
    <xf numFmtId="44" fontId="4" fillId="13" borderId="13" xfId="1" applyFont="1" applyFill="1" applyBorder="1" applyAlignment="1">
      <alignment horizontal="center" vertical="center"/>
    </xf>
    <xf numFmtId="0" fontId="0" fillId="13" borderId="0" xfId="0" applyFill="1"/>
    <xf numFmtId="0" fontId="6" fillId="13" borderId="41" xfId="20" applyFont="1" applyFill="1" applyBorder="1" applyAlignment="1">
      <alignment vertical="center" wrapText="1"/>
    </xf>
    <xf numFmtId="0" fontId="2" fillId="13" borderId="38" xfId="20" applyFont="1" applyFill="1" applyBorder="1" applyAlignment="1">
      <alignment vertical="center" wrapText="1"/>
    </xf>
    <xf numFmtId="0" fontId="6" fillId="13" borderId="39" xfId="20" applyFont="1" applyFill="1" applyBorder="1" applyAlignment="1">
      <alignment horizontal="center" vertical="center" wrapText="1"/>
    </xf>
    <xf numFmtId="0" fontId="6" fillId="13" borderId="39" xfId="20" applyFont="1" applyFill="1" applyBorder="1" applyAlignment="1">
      <alignment vertical="center" wrapText="1"/>
    </xf>
    <xf numFmtId="174" fontId="2" fillId="13" borderId="40" xfId="22" applyNumberFormat="1" applyFont="1" applyFill="1" applyBorder="1" applyAlignment="1">
      <alignment horizontal="center" vertical="center" wrapText="1"/>
    </xf>
    <xf numFmtId="0" fontId="6" fillId="13" borderId="48" xfId="20" applyFont="1" applyFill="1" applyBorder="1" applyAlignment="1">
      <alignment vertical="center" wrapText="1"/>
    </xf>
    <xf numFmtId="0" fontId="2" fillId="13" borderId="31" xfId="20" applyFont="1" applyFill="1" applyBorder="1" applyAlignment="1">
      <alignment vertical="center" wrapText="1"/>
    </xf>
    <xf numFmtId="0" fontId="2" fillId="13" borderId="4" xfId="20" applyFont="1" applyFill="1" applyBorder="1" applyAlignment="1">
      <alignment horizontal="center" vertical="center" wrapText="1"/>
    </xf>
    <xf numFmtId="186" fontId="2" fillId="13" borderId="4" xfId="20" applyNumberFormat="1" applyFont="1" applyFill="1" applyBorder="1" applyAlignment="1">
      <alignment horizontal="center" vertical="center" wrapText="1"/>
    </xf>
    <xf numFmtId="166" fontId="6" fillId="13" borderId="4" xfId="20" applyNumberFormat="1" applyFont="1" applyFill="1" applyBorder="1" applyAlignment="1">
      <alignment vertical="center" wrapText="1"/>
    </xf>
    <xf numFmtId="174" fontId="2" fillId="13" borderId="32" xfId="22" applyNumberFormat="1" applyFont="1" applyFill="1" applyBorder="1" applyAlignment="1">
      <alignment horizontal="center" vertical="center" wrapText="1"/>
    </xf>
    <xf numFmtId="186" fontId="2" fillId="13" borderId="4" xfId="15" applyNumberFormat="1" applyFont="1" applyFill="1" applyBorder="1" applyAlignment="1">
      <alignment horizontal="center" vertical="center" wrapText="1"/>
    </xf>
    <xf numFmtId="0" fontId="6" fillId="13" borderId="50" xfId="20" applyFont="1" applyFill="1" applyBorder="1" applyAlignment="1">
      <alignment vertical="center" wrapText="1"/>
    </xf>
    <xf numFmtId="0" fontId="2" fillId="13" borderId="55" xfId="20" applyFont="1" applyFill="1" applyBorder="1" applyAlignment="1">
      <alignment vertical="center" wrapText="1"/>
    </xf>
    <xf numFmtId="0" fontId="2" fillId="13" borderId="53" xfId="20" applyFont="1" applyFill="1" applyBorder="1" applyAlignment="1">
      <alignment vertical="center" wrapText="1"/>
    </xf>
    <xf numFmtId="174" fontId="2" fillId="13" borderId="54" xfId="22" applyNumberFormat="1" applyFont="1" applyFill="1" applyBorder="1" applyAlignment="1">
      <alignment horizontal="center" vertical="center" wrapText="1"/>
    </xf>
    <xf numFmtId="39" fontId="2" fillId="0" borderId="0" xfId="0" applyNumberFormat="1" applyFont="1" applyAlignment="1" applyProtection="1">
      <alignment horizontal="justify" vertical="center" wrapText="1"/>
      <protection locked="0"/>
    </xf>
    <xf numFmtId="3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3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>
      <alignment horizontal="right" vertical="center"/>
    </xf>
    <xf numFmtId="4" fontId="2" fillId="0" borderId="0" xfId="1" applyNumberFormat="1" applyFont="1" applyFill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4" xfId="18" applyFont="1" applyBorder="1" applyAlignment="1">
      <alignment wrapText="1"/>
    </xf>
    <xf numFmtId="0" fontId="6" fillId="0" borderId="4" xfId="18" applyFont="1" applyBorder="1" applyAlignment="1">
      <alignment horizontal="center"/>
    </xf>
    <xf numFmtId="184" fontId="6" fillId="0" borderId="4" xfId="16" applyNumberFormat="1" applyFont="1" applyFill="1" applyBorder="1"/>
    <xf numFmtId="184" fontId="6" fillId="0" borderId="32" xfId="1" applyNumberFormat="1" applyFont="1" applyFill="1" applyBorder="1" applyAlignment="1">
      <alignment vertical="center"/>
    </xf>
    <xf numFmtId="184" fontId="6" fillId="0" borderId="4" xfId="0" applyNumberFormat="1" applyFont="1" applyBorder="1"/>
    <xf numFmtId="0" fontId="6" fillId="0" borderId="55" xfId="0" applyFont="1" applyBorder="1" applyAlignment="1">
      <alignment horizontal="center"/>
    </xf>
    <xf numFmtId="0" fontId="6" fillId="0" borderId="53" xfId="18" applyFont="1" applyBorder="1" applyAlignment="1">
      <alignment horizontal="center" vertical="center"/>
    </xf>
    <xf numFmtId="0" fontId="6" fillId="0" borderId="53" xfId="13" applyFont="1" applyBorder="1" applyAlignment="1">
      <alignment horizontal="center" vertical="center"/>
    </xf>
    <xf numFmtId="184" fontId="6" fillId="0" borderId="53" xfId="16" applyNumberFormat="1" applyFont="1" applyFill="1" applyBorder="1" applyAlignment="1">
      <alignment vertical="center"/>
    </xf>
    <xf numFmtId="184" fontId="6" fillId="0" borderId="54" xfId="1" applyNumberFormat="1" applyFont="1" applyFill="1" applyBorder="1" applyAlignment="1">
      <alignment vertical="center"/>
    </xf>
    <xf numFmtId="4" fontId="2" fillId="0" borderId="35" xfId="1" applyNumberFormat="1" applyFont="1" applyFill="1" applyBorder="1"/>
    <xf numFmtId="174" fontId="0" fillId="0" borderId="0" xfId="0" applyNumberFormat="1"/>
    <xf numFmtId="0" fontId="26" fillId="0" borderId="0" xfId="18" applyFont="1" applyAlignment="1">
      <alignment horizontal="center" vertical="center" wrapText="1"/>
    </xf>
    <xf numFmtId="0" fontId="29" fillId="8" borderId="0" xfId="18" applyFont="1" applyFill="1" applyAlignment="1">
      <alignment horizontal="center" vertical="center"/>
    </xf>
    <xf numFmtId="0" fontId="6" fillId="0" borderId="50" xfId="20" applyFont="1" applyBorder="1" applyAlignment="1">
      <alignment horizontal="left"/>
    </xf>
    <xf numFmtId="0" fontId="6" fillId="0" borderId="51" xfId="20" applyFont="1" applyBorder="1" applyAlignment="1">
      <alignment horizontal="left"/>
    </xf>
    <xf numFmtId="0" fontId="0" fillId="9" borderId="10" xfId="0" applyFill="1" applyBorder="1" applyAlignment="1">
      <alignment horizontal="center" vertical="center"/>
    </xf>
    <xf numFmtId="0" fontId="6" fillId="0" borderId="51" xfId="20" applyFont="1" applyBorder="1" applyAlignment="1">
      <alignment horizontal="left" wrapText="1"/>
    </xf>
    <xf numFmtId="0" fontId="6" fillId="0" borderId="52" xfId="20" applyFont="1" applyBorder="1" applyAlignment="1">
      <alignment horizontal="left" wrapText="1"/>
    </xf>
    <xf numFmtId="0" fontId="6" fillId="0" borderId="6" xfId="20" applyFont="1" applyBorder="1" applyAlignment="1">
      <alignment horizontal="center" wrapText="1"/>
    </xf>
    <xf numFmtId="0" fontId="6" fillId="0" borderId="8" xfId="20" applyFont="1" applyBorder="1" applyAlignment="1">
      <alignment horizontal="center" wrapText="1"/>
    </xf>
    <xf numFmtId="0" fontId="6" fillId="0" borderId="9" xfId="20" applyFont="1" applyBorder="1" applyAlignment="1">
      <alignment horizontal="center" wrapText="1"/>
    </xf>
    <xf numFmtId="0" fontId="6" fillId="0" borderId="10" xfId="20" applyFont="1" applyBorder="1" applyAlignment="1">
      <alignment horizontal="center" wrapText="1"/>
    </xf>
    <xf numFmtId="0" fontId="6" fillId="0" borderId="11" xfId="20" applyFont="1" applyBorder="1" applyAlignment="1">
      <alignment horizontal="center" wrapText="1"/>
    </xf>
    <xf numFmtId="0" fontId="6" fillId="0" borderId="13" xfId="20" applyFont="1" applyBorder="1" applyAlignment="1">
      <alignment horizontal="center" wrapText="1"/>
    </xf>
    <xf numFmtId="0" fontId="6" fillId="0" borderId="41" xfId="20" applyFont="1" applyBorder="1" applyAlignment="1">
      <alignment horizontal="left"/>
    </xf>
    <xf numFmtId="0" fontId="6" fillId="0" borderId="42" xfId="20" applyFont="1" applyBorder="1" applyAlignment="1">
      <alignment horizontal="left"/>
    </xf>
    <xf numFmtId="0" fontId="6" fillId="0" borderId="45" xfId="20" applyFont="1" applyBorder="1" applyAlignment="1">
      <alignment horizontal="center" vertical="center" wrapText="1"/>
    </xf>
    <xf numFmtId="0" fontId="6" fillId="0" borderId="46" xfId="20" applyFont="1" applyBorder="1" applyAlignment="1">
      <alignment horizontal="center" vertical="center" wrapText="1"/>
    </xf>
    <xf numFmtId="0" fontId="6" fillId="0" borderId="36" xfId="2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0" fontId="6" fillId="0" borderId="48" xfId="20" applyFont="1" applyBorder="1" applyAlignment="1">
      <alignment horizontal="left" vertical="center"/>
    </xf>
    <xf numFmtId="0" fontId="6" fillId="0" borderId="28" xfId="20" applyFont="1" applyBorder="1" applyAlignment="1">
      <alignment horizontal="left" vertical="center"/>
    </xf>
    <xf numFmtId="0" fontId="6" fillId="0" borderId="48" xfId="20" applyFont="1" applyBorder="1" applyAlignment="1">
      <alignment horizontal="left"/>
    </xf>
    <xf numFmtId="0" fontId="6" fillId="0" borderId="28" xfId="20" applyFont="1" applyBorder="1" applyAlignment="1">
      <alignment horizontal="left"/>
    </xf>
    <xf numFmtId="0" fontId="6" fillId="0" borderId="49" xfId="20" applyFont="1" applyBorder="1" applyAlignment="1">
      <alignment horizontal="left"/>
    </xf>
    <xf numFmtId="0" fontId="6" fillId="0" borderId="16" xfId="21" applyNumberFormat="1" applyFont="1" applyFill="1" applyBorder="1" applyAlignment="1">
      <alignment horizontal="center" vertical="center" wrapText="1"/>
    </xf>
    <xf numFmtId="0" fontId="6" fillId="0" borderId="24" xfId="21" applyNumberFormat="1" applyFont="1" applyFill="1" applyBorder="1" applyAlignment="1">
      <alignment horizontal="center" vertical="center" wrapText="1"/>
    </xf>
    <xf numFmtId="0" fontId="6" fillId="0" borderId="30" xfId="21" applyNumberFormat="1" applyFont="1" applyFill="1" applyBorder="1" applyAlignment="1">
      <alignment horizontal="center" vertical="center" wrapText="1"/>
    </xf>
    <xf numFmtId="0" fontId="6" fillId="0" borderId="17" xfId="21" applyNumberFormat="1" applyFont="1" applyFill="1" applyBorder="1" applyAlignment="1">
      <alignment horizontal="center" vertical="center" wrapText="1"/>
    </xf>
    <xf numFmtId="0" fontId="6" fillId="0" borderId="0" xfId="21" applyNumberFormat="1" applyFont="1" applyFill="1" applyBorder="1" applyAlignment="1">
      <alignment horizontal="center" vertical="center" wrapText="1"/>
    </xf>
    <xf numFmtId="0" fontId="6" fillId="0" borderId="10" xfId="21" applyNumberFormat="1" applyFont="1" applyFill="1" applyBorder="1" applyAlignment="1">
      <alignment horizontal="center" vertical="center" wrapText="1"/>
    </xf>
    <xf numFmtId="0" fontId="6" fillId="0" borderId="19" xfId="21" applyNumberFormat="1" applyFont="1" applyFill="1" applyBorder="1" applyAlignment="1">
      <alignment horizontal="center" vertical="center" wrapText="1"/>
    </xf>
    <xf numFmtId="0" fontId="6" fillId="0" borderId="23" xfId="21" applyNumberFormat="1" applyFont="1" applyFill="1" applyBorder="1" applyAlignment="1">
      <alignment horizontal="center" vertical="center" wrapText="1"/>
    </xf>
    <xf numFmtId="0" fontId="6" fillId="0" borderId="47" xfId="21" applyNumberFormat="1" applyFont="1" applyFill="1" applyBorder="1" applyAlignment="1">
      <alignment horizontal="center" vertical="center" wrapText="1"/>
    </xf>
    <xf numFmtId="0" fontId="17" fillId="3" borderId="19" xfId="18" applyFont="1" applyFill="1" applyBorder="1" applyAlignment="1">
      <alignment horizontal="center" vertical="center"/>
    </xf>
    <xf numFmtId="0" fontId="17" fillId="3" borderId="23" xfId="18" applyFont="1" applyFill="1" applyBorder="1" applyAlignment="1">
      <alignment horizontal="center" vertical="center"/>
    </xf>
    <xf numFmtId="0" fontId="17" fillId="5" borderId="19" xfId="18" applyFont="1" applyFill="1" applyBorder="1" applyAlignment="1">
      <alignment horizontal="left" vertical="top"/>
    </xf>
    <xf numFmtId="0" fontId="17" fillId="5" borderId="26" xfId="18" applyFont="1" applyFill="1" applyBorder="1" applyAlignment="1">
      <alignment horizontal="left" vertical="top"/>
    </xf>
    <xf numFmtId="166" fontId="17" fillId="3" borderId="27" xfId="17" applyFont="1" applyFill="1" applyBorder="1" applyAlignment="1">
      <alignment horizontal="center" vertical="center"/>
    </xf>
    <xf numFmtId="166" fontId="17" fillId="3" borderId="28" xfId="17" applyFont="1" applyFill="1" applyBorder="1" applyAlignment="1">
      <alignment horizontal="center" vertical="center"/>
    </xf>
    <xf numFmtId="166" fontId="17" fillId="3" borderId="29" xfId="17" applyFont="1" applyFill="1" applyBorder="1" applyAlignment="1">
      <alignment horizontal="center" vertical="center"/>
    </xf>
    <xf numFmtId="0" fontId="17" fillId="0" borderId="16" xfId="18" applyFont="1" applyBorder="1" applyAlignment="1">
      <alignment horizontal="center" vertical="center" wrapText="1"/>
    </xf>
    <xf numFmtId="0" fontId="17" fillId="0" borderId="24" xfId="18" applyFont="1" applyBorder="1" applyAlignment="1">
      <alignment horizontal="center" vertical="center" wrapText="1"/>
    </xf>
    <xf numFmtId="0" fontId="17" fillId="5" borderId="17" xfId="18" applyFont="1" applyFill="1" applyBorder="1" applyAlignment="1">
      <alignment horizontal="left" vertical="center"/>
    </xf>
    <xf numFmtId="0" fontId="17" fillId="5" borderId="22" xfId="18" applyFont="1" applyFill="1" applyBorder="1" applyAlignment="1">
      <alignment horizontal="left" vertical="center"/>
    </xf>
    <xf numFmtId="166" fontId="17" fillId="0" borderId="27" xfId="17" applyFont="1" applyBorder="1" applyAlignment="1">
      <alignment horizontal="center" vertical="center"/>
    </xf>
    <xf numFmtId="166" fontId="17" fillId="0" borderId="28" xfId="17" applyFont="1" applyBorder="1" applyAlignment="1">
      <alignment horizontal="center" vertical="center"/>
    </xf>
    <xf numFmtId="166" fontId="17" fillId="0" borderId="29" xfId="17" applyFont="1" applyBorder="1" applyAlignment="1">
      <alignment horizontal="center" vertical="center"/>
    </xf>
    <xf numFmtId="0" fontId="17" fillId="0" borderId="27" xfId="18" applyFont="1" applyBorder="1" applyAlignment="1">
      <alignment horizontal="center" vertical="center"/>
    </xf>
    <xf numFmtId="0" fontId="17" fillId="0" borderId="28" xfId="18" applyFont="1" applyBorder="1" applyAlignment="1">
      <alignment horizontal="center" vertical="center"/>
    </xf>
    <xf numFmtId="0" fontId="17" fillId="0" borderId="29" xfId="18" applyFont="1" applyBorder="1" applyAlignment="1">
      <alignment horizontal="center" vertical="center"/>
    </xf>
    <xf numFmtId="0" fontId="11" fillId="5" borderId="17" xfId="18" applyFont="1" applyFill="1" applyBorder="1" applyAlignment="1">
      <alignment horizontal="left" vertical="top"/>
    </xf>
    <xf numFmtId="0" fontId="11" fillId="5" borderId="22" xfId="18" applyFont="1" applyFill="1" applyBorder="1" applyAlignment="1">
      <alignment horizontal="left" vertical="top"/>
    </xf>
    <xf numFmtId="166" fontId="17" fillId="0" borderId="27" xfId="17" applyFont="1" applyFill="1" applyBorder="1" applyAlignment="1">
      <alignment horizontal="center" vertical="center"/>
    </xf>
    <xf numFmtId="166" fontId="17" fillId="0" borderId="28" xfId="17" applyFont="1" applyFill="1" applyBorder="1" applyAlignment="1">
      <alignment horizontal="center" vertical="center"/>
    </xf>
    <xf numFmtId="166" fontId="17" fillId="0" borderId="29" xfId="17" applyFont="1" applyFill="1" applyBorder="1" applyAlignment="1">
      <alignment horizontal="center" vertical="center"/>
    </xf>
    <xf numFmtId="166" fontId="16" fillId="7" borderId="4" xfId="17" applyFont="1" applyFill="1" applyBorder="1" applyAlignment="1">
      <alignment horizontal="center" vertical="center" wrapText="1"/>
    </xf>
    <xf numFmtId="0" fontId="16" fillId="0" borderId="16" xfId="18" applyFont="1" applyBorder="1" applyAlignment="1">
      <alignment horizontal="center" vertical="center"/>
    </xf>
    <xf numFmtId="0" fontId="16" fillId="0" borderId="24" xfId="18" applyFont="1" applyBorder="1" applyAlignment="1">
      <alignment horizontal="center" vertical="center"/>
    </xf>
    <xf numFmtId="0" fontId="16" fillId="0" borderId="25" xfId="18" applyFont="1" applyBorder="1" applyAlignment="1">
      <alignment horizontal="center" vertical="center"/>
    </xf>
    <xf numFmtId="0" fontId="16" fillId="0" borderId="17" xfId="18" applyFont="1" applyBorder="1" applyAlignment="1">
      <alignment horizontal="center" vertical="center"/>
    </xf>
    <xf numFmtId="0" fontId="16" fillId="0" borderId="0" xfId="18" applyFont="1" applyAlignment="1">
      <alignment horizontal="center" vertical="center"/>
    </xf>
    <xf numFmtId="0" fontId="16" fillId="0" borderId="22" xfId="18" applyFont="1" applyBorder="1" applyAlignment="1">
      <alignment horizontal="center" vertical="center"/>
    </xf>
    <xf numFmtId="0" fontId="16" fillId="0" borderId="19" xfId="18" applyFont="1" applyBorder="1" applyAlignment="1">
      <alignment horizontal="center" vertical="center"/>
    </xf>
    <xf numFmtId="0" fontId="16" fillId="0" borderId="23" xfId="18" applyFont="1" applyBorder="1" applyAlignment="1">
      <alignment horizontal="center" vertical="center"/>
    </xf>
    <xf numFmtId="0" fontId="16" fillId="0" borderId="26" xfId="18" applyFont="1" applyBorder="1" applyAlignment="1">
      <alignment horizontal="center" vertical="center"/>
    </xf>
    <xf numFmtId="0" fontId="16" fillId="0" borderId="27" xfId="18" applyFont="1" applyBorder="1" applyAlignment="1">
      <alignment horizontal="center" vertical="center" wrapText="1"/>
    </xf>
    <xf numFmtId="0" fontId="16" fillId="0" borderId="28" xfId="18" applyFont="1" applyBorder="1" applyAlignment="1">
      <alignment horizontal="center" vertical="center" wrapText="1"/>
    </xf>
    <xf numFmtId="0" fontId="16" fillId="0" borderId="29" xfId="18" applyFont="1" applyBorder="1" applyAlignment="1">
      <alignment horizontal="center" vertical="center" wrapText="1"/>
    </xf>
    <xf numFmtId="0" fontId="11" fillId="5" borderId="16" xfId="18" applyFont="1" applyFill="1" applyBorder="1" applyAlignment="1">
      <alignment horizontal="left" vertical="center"/>
    </xf>
    <xf numFmtId="0" fontId="11" fillId="5" borderId="25" xfId="18" applyFont="1" applyFill="1" applyBorder="1" applyAlignment="1">
      <alignment horizontal="left" vertical="center"/>
    </xf>
    <xf numFmtId="0" fontId="16" fillId="7" borderId="27" xfId="18" applyFont="1" applyFill="1" applyBorder="1" applyAlignment="1">
      <alignment horizontal="center" vertical="center"/>
    </xf>
    <xf numFmtId="0" fontId="16" fillId="7" borderId="28" xfId="18" applyFont="1" applyFill="1" applyBorder="1" applyAlignment="1">
      <alignment horizontal="center" vertical="center"/>
    </xf>
    <xf numFmtId="4" fontId="16" fillId="8" borderId="27" xfId="18" applyNumberFormat="1" applyFont="1" applyFill="1" applyBorder="1" applyAlignment="1">
      <alignment horizontal="left" vertical="center" wrapText="1"/>
    </xf>
    <xf numFmtId="4" fontId="16" fillId="8" borderId="28" xfId="18" applyNumberFormat="1" applyFont="1" applyFill="1" applyBorder="1" applyAlignment="1">
      <alignment horizontal="left" vertical="center" wrapText="1"/>
    </xf>
    <xf numFmtId="4" fontId="16" fillId="8" borderId="29" xfId="18" applyNumberFormat="1" applyFont="1" applyFill="1" applyBorder="1" applyAlignment="1">
      <alignment horizontal="left" vertical="center" wrapText="1"/>
    </xf>
    <xf numFmtId="166" fontId="16" fillId="7" borderId="27" xfId="17" applyFont="1" applyFill="1" applyBorder="1" applyAlignment="1">
      <alignment horizontal="center" vertical="center"/>
    </xf>
    <xf numFmtId="166" fontId="16" fillId="7" borderId="29" xfId="17" applyFont="1" applyFill="1" applyBorder="1" applyAlignment="1">
      <alignment horizontal="center" vertical="center"/>
    </xf>
    <xf numFmtId="0" fontId="16" fillId="7" borderId="4" xfId="18" applyFont="1" applyFill="1" applyBorder="1" applyAlignment="1">
      <alignment horizontal="center" vertical="center"/>
    </xf>
    <xf numFmtId="0" fontId="16" fillId="7" borderId="15" xfId="18" applyFont="1" applyFill="1" applyBorder="1" applyAlignment="1">
      <alignment horizontal="center" vertical="center"/>
    </xf>
    <xf numFmtId="166" fontId="16" fillId="7" borderId="4" xfId="17" applyFont="1" applyFill="1" applyBorder="1" applyAlignment="1">
      <alignment horizontal="center" vertical="center"/>
    </xf>
    <xf numFmtId="0" fontId="16" fillId="7" borderId="4" xfId="18" applyFont="1" applyFill="1" applyBorder="1" applyAlignment="1">
      <alignment horizontal="center" vertical="center" wrapText="1"/>
    </xf>
    <xf numFmtId="0" fontId="16" fillId="8" borderId="27" xfId="18" applyFont="1" applyFill="1" applyBorder="1" applyAlignment="1">
      <alignment horizontal="center" vertical="center" wrapText="1"/>
    </xf>
    <xf numFmtId="0" fontId="16" fillId="8" borderId="28" xfId="18" applyFont="1" applyFill="1" applyBorder="1" applyAlignment="1">
      <alignment horizontal="center" vertical="center" wrapText="1"/>
    </xf>
    <xf numFmtId="0" fontId="16" fillId="8" borderId="29" xfId="18" applyFont="1" applyFill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 wrapText="1"/>
    </xf>
    <xf numFmtId="0" fontId="15" fillId="0" borderId="25" xfId="18" applyFont="1" applyBorder="1" applyAlignment="1">
      <alignment horizontal="center" vertical="center" wrapText="1"/>
    </xf>
    <xf numFmtId="0" fontId="15" fillId="0" borderId="23" xfId="18" applyFont="1" applyBorder="1" applyAlignment="1">
      <alignment horizontal="center" vertical="center" wrapText="1"/>
    </xf>
    <xf numFmtId="0" fontId="15" fillId="0" borderId="26" xfId="18" applyFont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/>
    </xf>
    <xf numFmtId="0" fontId="15" fillId="0" borderId="25" xfId="18" applyFont="1" applyBorder="1" applyAlignment="1">
      <alignment horizontal="center" vertical="center"/>
    </xf>
    <xf numFmtId="166" fontId="15" fillId="0" borderId="16" xfId="17" applyFont="1" applyBorder="1" applyAlignment="1">
      <alignment horizontal="center" vertical="center" wrapText="1"/>
    </xf>
    <xf numFmtId="166" fontId="15" fillId="0" borderId="24" xfId="17" applyFont="1" applyBorder="1" applyAlignment="1">
      <alignment horizontal="center" vertical="center" wrapText="1"/>
    </xf>
    <xf numFmtId="166" fontId="15" fillId="0" borderId="25" xfId="17" applyFont="1" applyBorder="1" applyAlignment="1">
      <alignment horizontal="center" vertical="center" wrapText="1"/>
    </xf>
    <xf numFmtId="166" fontId="15" fillId="0" borderId="19" xfId="17" applyFont="1" applyBorder="1" applyAlignment="1">
      <alignment horizontal="center" vertical="center" wrapText="1"/>
    </xf>
    <xf numFmtId="166" fontId="15" fillId="0" borderId="23" xfId="17" applyFont="1" applyBorder="1" applyAlignment="1">
      <alignment horizontal="center" vertical="center" wrapText="1"/>
    </xf>
    <xf numFmtId="166" fontId="15" fillId="0" borderId="26" xfId="17" applyFont="1" applyBorder="1" applyAlignment="1">
      <alignment horizontal="center" vertical="center" wrapText="1"/>
    </xf>
    <xf numFmtId="0" fontId="15" fillId="0" borderId="23" xfId="18" applyFont="1" applyBorder="1" applyAlignment="1">
      <alignment horizontal="center" vertical="center"/>
    </xf>
    <xf numFmtId="0" fontId="15" fillId="0" borderId="26" xfId="18" applyFont="1" applyBorder="1" applyAlignment="1">
      <alignment horizontal="center" vertical="center"/>
    </xf>
    <xf numFmtId="0" fontId="14" fillId="0" borderId="19" xfId="18" applyFont="1" applyBorder="1" applyAlignment="1">
      <alignment horizontal="center"/>
    </xf>
    <xf numFmtId="0" fontId="14" fillId="0" borderId="23" xfId="18" applyFont="1" applyBorder="1" applyAlignment="1">
      <alignment horizontal="center"/>
    </xf>
    <xf numFmtId="0" fontId="14" fillId="0" borderId="26" xfId="18" applyFont="1" applyBorder="1" applyAlignment="1">
      <alignment horizontal="center"/>
    </xf>
    <xf numFmtId="0" fontId="11" fillId="0" borderId="17" xfId="18" applyFont="1" applyBorder="1" applyAlignment="1">
      <alignment horizontal="center" vertical="center" wrapText="1"/>
    </xf>
    <xf numFmtId="0" fontId="11" fillId="0" borderId="0" xfId="18" applyFont="1" applyAlignment="1">
      <alignment horizontal="center" vertical="center" wrapText="1"/>
    </xf>
    <xf numFmtId="0" fontId="11" fillId="0" borderId="22" xfId="18" applyFont="1" applyBorder="1" applyAlignment="1">
      <alignment horizontal="center" vertical="center" wrapText="1"/>
    </xf>
    <xf numFmtId="0" fontId="13" fillId="0" borderId="15" xfId="18" applyFont="1" applyBorder="1" applyAlignment="1">
      <alignment horizontal="center" vertical="center" wrapText="1"/>
    </xf>
    <xf numFmtId="0" fontId="13" fillId="0" borderId="18" xfId="18" applyFont="1" applyBorder="1" applyAlignment="1">
      <alignment horizontal="center" vertical="center" wrapText="1"/>
    </xf>
    <xf numFmtId="0" fontId="13" fillId="0" borderId="14" xfId="18" applyFont="1" applyBorder="1" applyAlignment="1">
      <alignment horizontal="center" vertical="center" wrapText="1"/>
    </xf>
    <xf numFmtId="0" fontId="2" fillId="0" borderId="0" xfId="13" applyFont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39" fontId="2" fillId="0" borderId="2" xfId="0" applyNumberFormat="1" applyFont="1" applyFill="1" applyBorder="1" applyAlignment="1">
      <alignment horizontal="center" vertical="center" wrapText="1"/>
    </xf>
    <xf numFmtId="3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58" xfId="0" applyFont="1" applyFill="1" applyBorder="1" applyAlignment="1">
      <alignment horizontal="left" vertical="center"/>
    </xf>
    <xf numFmtId="0" fontId="7" fillId="0" borderId="6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33" xfId="0" applyFont="1" applyFill="1" applyBorder="1" applyAlignment="1">
      <alignment horizontal="left" vertical="center"/>
    </xf>
    <xf numFmtId="0" fontId="2" fillId="9" borderId="34" xfId="0" applyFont="1" applyFill="1" applyBorder="1" applyAlignment="1">
      <alignment horizontal="left" vertical="center"/>
    </xf>
    <xf numFmtId="0" fontId="2" fillId="0" borderId="15" xfId="13" applyFont="1" applyBorder="1" applyAlignment="1">
      <alignment horizontal="center" vertical="center"/>
    </xf>
    <xf numFmtId="0" fontId="2" fillId="0" borderId="14" xfId="13" applyFont="1" applyBorder="1" applyAlignment="1">
      <alignment horizontal="center" vertical="center"/>
    </xf>
    <xf numFmtId="0" fontId="2" fillId="0" borderId="16" xfId="13" applyFont="1" applyBorder="1" applyAlignment="1">
      <alignment horizontal="center" vertical="center" wrapText="1"/>
    </xf>
    <xf numFmtId="0" fontId="2" fillId="0" borderId="25" xfId="13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6" xfId="13" applyFont="1" applyBorder="1" applyAlignment="1">
      <alignment horizontal="center" vertical="center" wrapText="1"/>
    </xf>
    <xf numFmtId="0" fontId="2" fillId="0" borderId="27" xfId="13" applyFont="1" applyBorder="1" applyAlignment="1">
      <alignment horizontal="center"/>
    </xf>
    <xf numFmtId="0" fontId="2" fillId="0" borderId="28" xfId="13" applyFont="1" applyBorder="1" applyAlignment="1">
      <alignment horizontal="center"/>
    </xf>
    <xf numFmtId="0" fontId="2" fillId="0" borderId="29" xfId="13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13" applyFont="1" applyBorder="1" applyAlignment="1">
      <alignment horizontal="center" vertical="center"/>
    </xf>
    <xf numFmtId="0" fontId="2" fillId="9" borderId="1" xfId="13" applyFont="1" applyFill="1" applyBorder="1" applyAlignment="1">
      <alignment horizontal="center" vertical="center"/>
    </xf>
    <xf numFmtId="0" fontId="2" fillId="9" borderId="2" xfId="1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13" applyFont="1" applyFill="1" applyBorder="1" applyAlignment="1">
      <alignment horizontal="center" vertical="center"/>
    </xf>
    <xf numFmtId="0" fontId="2" fillId="0" borderId="2" xfId="13" applyFont="1" applyFill="1" applyBorder="1" applyAlignment="1">
      <alignment horizontal="center" vertical="center"/>
    </xf>
    <xf numFmtId="0" fontId="2" fillId="9" borderId="1" xfId="13" applyFont="1" applyFill="1" applyBorder="1" applyAlignment="1">
      <alignment horizontal="center" vertical="center" wrapText="1"/>
    </xf>
    <xf numFmtId="0" fontId="2" fillId="9" borderId="2" xfId="13" applyFont="1" applyFill="1" applyBorder="1" applyAlignment="1">
      <alignment horizontal="center" vertical="center" wrapText="1"/>
    </xf>
    <xf numFmtId="0" fontId="28" fillId="0" borderId="27" xfId="13" applyFont="1" applyFill="1" applyBorder="1" applyAlignment="1">
      <alignment horizontal="center"/>
    </xf>
    <xf numFmtId="0" fontId="28" fillId="0" borderId="29" xfId="13" applyFont="1" applyFill="1" applyBorder="1" applyAlignment="1">
      <alignment horizontal="center"/>
    </xf>
    <xf numFmtId="0" fontId="2" fillId="0" borderId="15" xfId="13" applyFont="1" applyBorder="1" applyAlignment="1">
      <alignment horizontal="center"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13" applyFont="1" applyFill="1" applyBorder="1" applyAlignment="1">
      <alignment horizontal="center" vertical="center"/>
    </xf>
    <xf numFmtId="0" fontId="2" fillId="0" borderId="18" xfId="13" applyFont="1" applyFill="1" applyBorder="1" applyAlignment="1">
      <alignment horizontal="center" vertical="center"/>
    </xf>
    <xf numFmtId="0" fontId="2" fillId="0" borderId="14" xfId="13" applyFont="1" applyFill="1" applyBorder="1" applyAlignment="1">
      <alignment horizontal="center" vertical="center"/>
    </xf>
    <xf numFmtId="0" fontId="2" fillId="6" borderId="27" xfId="13" applyFont="1" applyFill="1" applyBorder="1" applyAlignment="1">
      <alignment horizontal="center"/>
    </xf>
    <xf numFmtId="0" fontId="2" fillId="6" borderId="28" xfId="13" applyFont="1" applyFill="1" applyBorder="1" applyAlignment="1">
      <alignment horizontal="center"/>
    </xf>
    <xf numFmtId="0" fontId="2" fillId="6" borderId="29" xfId="13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8" xfId="13" applyFont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/>
    </xf>
    <xf numFmtId="0" fontId="2" fillId="0" borderId="28" xfId="13" applyFont="1" applyFill="1" applyBorder="1" applyAlignment="1">
      <alignment horizontal="center"/>
    </xf>
    <xf numFmtId="0" fontId="2" fillId="0" borderId="29" xfId="13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/>
    </xf>
    <xf numFmtId="0" fontId="27" fillId="0" borderId="58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wrapText="1"/>
    </xf>
    <xf numFmtId="0" fontId="2" fillId="9" borderId="58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7" fillId="9" borderId="1" xfId="0" applyFont="1" applyFill="1" applyBorder="1" applyAlignment="1">
      <alignment horizontal="left" vertical="center"/>
    </xf>
    <xf numFmtId="0" fontId="27" fillId="9" borderId="2" xfId="0" applyFont="1" applyFill="1" applyBorder="1" applyAlignment="1">
      <alignment horizontal="left" vertical="center"/>
    </xf>
    <xf numFmtId="0" fontId="27" fillId="9" borderId="3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0" fontId="2" fillId="9" borderId="2" xfId="0" applyFont="1" applyFill="1" applyBorder="1" applyAlignment="1">
      <alignment horizontal="left" vertical="center"/>
    </xf>
    <xf numFmtId="0" fontId="2" fillId="9" borderId="5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9" borderId="65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58" xfId="0" applyFont="1" applyFill="1" applyBorder="1" applyAlignment="1">
      <alignment horizontal="center" vertical="center" wrapText="1"/>
    </xf>
    <xf numFmtId="0" fontId="2" fillId="9" borderId="50" xfId="0" applyFont="1" applyFill="1" applyBorder="1" applyAlignment="1">
      <alignment horizontal="left" vertical="center"/>
    </xf>
    <xf numFmtId="0" fontId="2" fillId="9" borderId="51" xfId="0" applyFont="1" applyFill="1" applyBorder="1" applyAlignment="1">
      <alignment horizontal="left" vertical="center"/>
    </xf>
    <xf numFmtId="0" fontId="2" fillId="9" borderId="61" xfId="0" applyFont="1" applyFill="1" applyBorder="1" applyAlignment="1">
      <alignment horizontal="left" vertical="center"/>
    </xf>
    <xf numFmtId="0" fontId="7" fillId="9" borderId="65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5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7" fillId="9" borderId="58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2" fillId="9" borderId="12" xfId="0" applyFont="1" applyFill="1" applyBorder="1" applyAlignment="1">
      <alignment horizontal="left" vertical="center"/>
    </xf>
    <xf numFmtId="0" fontId="2" fillId="9" borderId="66" xfId="0" applyFont="1" applyFill="1" applyBorder="1" applyAlignment="1">
      <alignment horizontal="left" vertical="center"/>
    </xf>
    <xf numFmtId="0" fontId="36" fillId="0" borderId="6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9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center"/>
    </xf>
    <xf numFmtId="0" fontId="7" fillId="9" borderId="43" xfId="0" applyFont="1" applyFill="1" applyBorder="1" applyAlignment="1">
      <alignment horizontal="center" vertical="center" wrapText="1"/>
    </xf>
    <xf numFmtId="0" fontId="7" fillId="9" borderId="64" xfId="0" applyFont="1" applyFill="1" applyBorder="1" applyAlignment="1">
      <alignment horizontal="center" vertical="center" wrapText="1"/>
    </xf>
    <xf numFmtId="0" fontId="7" fillId="9" borderId="4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9" borderId="65" xfId="13" applyFont="1" applyFill="1" applyBorder="1" applyAlignment="1">
      <alignment horizontal="center" vertical="center" wrapText="1"/>
    </xf>
    <xf numFmtId="0" fontId="2" fillId="9" borderId="58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6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19" xfId="13" applyFont="1" applyFill="1" applyBorder="1" applyAlignment="1">
      <alignment horizontal="center" vertical="center" wrapText="1"/>
    </xf>
    <xf numFmtId="0" fontId="2" fillId="0" borderId="26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/>
    <xf numFmtId="0" fontId="6" fillId="0" borderId="15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2" fillId="0" borderId="4" xfId="13" applyFont="1" applyBorder="1" applyAlignment="1">
      <alignment horizontal="center" vertical="center"/>
    </xf>
    <xf numFmtId="0" fontId="2" fillId="6" borderId="27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/>
    </xf>
    <xf numFmtId="0" fontId="2" fillId="6" borderId="2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8" fillId="9" borderId="11" xfId="0" applyFont="1" applyFill="1" applyBorder="1" applyAlignment="1">
      <alignment horizontal="center" vertical="center"/>
    </xf>
    <xf numFmtId="0" fontId="28" fillId="9" borderId="12" xfId="0" applyFont="1" applyFill="1" applyBorder="1" applyAlignment="1">
      <alignment horizontal="center" vertical="center"/>
    </xf>
    <xf numFmtId="0" fontId="28" fillId="9" borderId="13" xfId="0" applyFont="1" applyFill="1" applyBorder="1" applyAlignment="1">
      <alignment horizontal="center" vertical="center"/>
    </xf>
    <xf numFmtId="0" fontId="27" fillId="9" borderId="33" xfId="0" applyFont="1" applyFill="1" applyBorder="1" applyAlignment="1">
      <alignment horizontal="left" vertical="center"/>
    </xf>
    <xf numFmtId="0" fontId="27" fillId="9" borderId="34" xfId="0" applyFont="1" applyFill="1" applyBorder="1" applyAlignment="1">
      <alignment horizontal="left" vertical="center"/>
    </xf>
    <xf numFmtId="0" fontId="2" fillId="9" borderId="6" xfId="13" applyFont="1" applyFill="1" applyBorder="1" applyAlignment="1">
      <alignment horizontal="center"/>
    </xf>
    <xf numFmtId="0" fontId="2" fillId="9" borderId="7" xfId="13" applyFont="1" applyFill="1" applyBorder="1" applyAlignment="1">
      <alignment horizontal="center"/>
    </xf>
    <xf numFmtId="0" fontId="2" fillId="9" borderId="8" xfId="13" applyFont="1" applyFill="1" applyBorder="1" applyAlignment="1">
      <alignment horizontal="center"/>
    </xf>
    <xf numFmtId="0" fontId="2" fillId="9" borderId="11" xfId="13" applyFont="1" applyFill="1" applyBorder="1" applyAlignment="1">
      <alignment horizontal="center"/>
    </xf>
    <xf numFmtId="0" fontId="2" fillId="9" borderId="12" xfId="13" applyFont="1" applyFill="1" applyBorder="1" applyAlignment="1">
      <alignment horizontal="center"/>
    </xf>
    <xf numFmtId="0" fontId="2" fillId="9" borderId="13" xfId="13" applyFont="1" applyFill="1" applyBorder="1" applyAlignment="1">
      <alignment horizontal="center"/>
    </xf>
    <xf numFmtId="39" fontId="2" fillId="0" borderId="6" xfId="0" applyNumberFormat="1" applyFont="1" applyFill="1" applyBorder="1" applyAlignment="1">
      <alignment horizontal="center" vertical="center" wrapText="1"/>
    </xf>
    <xf numFmtId="39" fontId="2" fillId="0" borderId="7" xfId="0" applyNumberFormat="1" applyFont="1" applyFill="1" applyBorder="1" applyAlignment="1">
      <alignment horizontal="center" vertical="center" wrapText="1"/>
    </xf>
    <xf numFmtId="39" fontId="2" fillId="0" borderId="8" xfId="0" applyNumberFormat="1" applyFont="1" applyFill="1" applyBorder="1" applyAlignment="1">
      <alignment horizontal="center" vertical="center" wrapText="1"/>
    </xf>
    <xf numFmtId="39" fontId="2" fillId="0" borderId="11" xfId="0" applyNumberFormat="1" applyFont="1" applyFill="1" applyBorder="1" applyAlignment="1">
      <alignment horizontal="center" vertical="center" wrapText="1"/>
    </xf>
    <xf numFmtId="39" fontId="2" fillId="0" borderId="12" xfId="0" applyNumberFormat="1" applyFont="1" applyFill="1" applyBorder="1" applyAlignment="1">
      <alignment horizontal="center" vertical="center" wrapText="1"/>
    </xf>
    <xf numFmtId="39" fontId="2" fillId="0" borderId="13" xfId="0" applyNumberFormat="1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2" fillId="0" borderId="65" xfId="13" applyFont="1" applyFill="1" applyBorder="1" applyAlignment="1">
      <alignment horizontal="center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2" fillId="0" borderId="58" xfId="13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" xfId="13" applyFont="1" applyBorder="1" applyAlignment="1">
      <alignment horizontal="center"/>
    </xf>
    <xf numFmtId="0" fontId="2" fillId="0" borderId="2" xfId="13" applyFont="1" applyBorder="1" applyAlignment="1">
      <alignment horizontal="center"/>
    </xf>
    <xf numFmtId="0" fontId="2" fillId="0" borderId="3" xfId="13" applyFont="1" applyBorder="1" applyAlignment="1">
      <alignment horizontal="center"/>
    </xf>
    <xf numFmtId="0" fontId="2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64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</cellXfs>
  <cellStyles count="39">
    <cellStyle name="Millares [0]" xfId="34" builtinId="6"/>
    <cellStyle name="Millares [0] 2" xfId="9" xr:uid="{00000000-0005-0000-0000-000001000000}"/>
    <cellStyle name="Millares 18" xfId="30" xr:uid="{00000000-0005-0000-0000-000002000000}"/>
    <cellStyle name="Millares 2" xfId="3" xr:uid="{00000000-0005-0000-0000-000003000000}"/>
    <cellStyle name="Millares 2 2" xfId="16" xr:uid="{00000000-0005-0000-0000-000004000000}"/>
    <cellStyle name="Millares 2 2 2" xfId="31" xr:uid="{00000000-0005-0000-0000-000005000000}"/>
    <cellStyle name="Millares 20" xfId="28" xr:uid="{00000000-0005-0000-0000-000006000000}"/>
    <cellStyle name="Millares 21" xfId="27" xr:uid="{00000000-0005-0000-0000-000007000000}"/>
    <cellStyle name="Millares 22" xfId="25" xr:uid="{00000000-0005-0000-0000-000008000000}"/>
    <cellStyle name="Millares 3" xfId="17" xr:uid="{00000000-0005-0000-0000-000009000000}"/>
    <cellStyle name="Millares 3 2" xfId="35" xr:uid="{00000000-0005-0000-0000-00000A000000}"/>
    <cellStyle name="Millares 4" xfId="23" xr:uid="{00000000-0005-0000-0000-00000B000000}"/>
    <cellStyle name="Millares 41" xfId="29" xr:uid="{00000000-0005-0000-0000-00000C000000}"/>
    <cellStyle name="Millares 8" xfId="24" xr:uid="{00000000-0005-0000-0000-00000D000000}"/>
    <cellStyle name="Millares_Actas de obra" xfId="21" xr:uid="{00000000-0005-0000-0000-00000E000000}"/>
    <cellStyle name="Moneda" xfId="1" builtinId="4"/>
    <cellStyle name="Moneda [0] 2" xfId="37" xr:uid="{00000000-0005-0000-0000-000010000000}"/>
    <cellStyle name="Moneda 2" xfId="2" xr:uid="{00000000-0005-0000-0000-000011000000}"/>
    <cellStyle name="Moneda 2 2" xfId="19" xr:uid="{00000000-0005-0000-0000-000012000000}"/>
    <cellStyle name="Moneda 24" xfId="12" xr:uid="{00000000-0005-0000-0000-000013000000}"/>
    <cellStyle name="Moneda 3" xfId="7" xr:uid="{00000000-0005-0000-0000-000014000000}"/>
    <cellStyle name="Moneda 4" xfId="14" xr:uid="{00000000-0005-0000-0000-000015000000}"/>
    <cellStyle name="Moneda_AIU" xfId="33" xr:uid="{00000000-0005-0000-0000-000016000000}"/>
    <cellStyle name="Moneda_Propuesta Ruben 2" xfId="22" xr:uid="{00000000-0005-0000-0000-000017000000}"/>
    <cellStyle name="Normal" xfId="0" builtinId="0"/>
    <cellStyle name="Normal 10" xfId="13" xr:uid="{00000000-0005-0000-0000-000019000000}"/>
    <cellStyle name="Normal 15" xfId="36" xr:uid="{00000000-0005-0000-0000-00001A000000}"/>
    <cellStyle name="Normal 2" xfId="5" xr:uid="{00000000-0005-0000-0000-00001B000000}"/>
    <cellStyle name="Normal 2 2" xfId="18" xr:uid="{00000000-0005-0000-0000-00001C000000}"/>
    <cellStyle name="Normal 2 4" xfId="26" xr:uid="{00000000-0005-0000-0000-00001D000000}"/>
    <cellStyle name="Normal 34" xfId="11" xr:uid="{00000000-0005-0000-0000-00001E000000}"/>
    <cellStyle name="Normal 4" xfId="6" xr:uid="{00000000-0005-0000-0000-00001F000000}"/>
    <cellStyle name="Normal 5" xfId="4" xr:uid="{00000000-0005-0000-0000-000020000000}"/>
    <cellStyle name="Normal 5 2" xfId="10" xr:uid="{00000000-0005-0000-0000-000021000000}"/>
    <cellStyle name="Normal_Actas de obra" xfId="20" xr:uid="{00000000-0005-0000-0000-000022000000}"/>
    <cellStyle name="Porcentaje" xfId="38" builtinId="5"/>
    <cellStyle name="Porcentaje 2" xfId="15" xr:uid="{00000000-0005-0000-0000-000024000000}"/>
    <cellStyle name="Porcentaje 3 2" xfId="32" xr:uid="{00000000-0005-0000-0000-000025000000}"/>
    <cellStyle name="Porcentual 3" xfId="8" xr:uid="{00000000-0005-0000-0000-000026000000}"/>
  </cellStyles>
  <dxfs count="0"/>
  <tableStyles count="0" defaultTableStyle="TableStyleMedium2" defaultPivotStyle="PivotStyleLight16"/>
  <colors>
    <mruColors>
      <color rgb="FFF8F196"/>
      <color rgb="FFFA90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47965</xdr:colOff>
      <xdr:row>3</xdr:row>
      <xdr:rowOff>50433</xdr:rowOff>
    </xdr:from>
    <xdr:to>
      <xdr:col>2</xdr:col>
      <xdr:colOff>2243818</xdr:colOff>
      <xdr:row>5</xdr:row>
      <xdr:rowOff>188152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965" y="640983"/>
          <a:ext cx="2195853" cy="804469"/>
        </a:xfrm>
        <a:prstGeom prst="rect">
          <a:avLst/>
        </a:prstGeom>
      </xdr:spPr>
    </xdr:pic>
    <xdr:clientData/>
  </xdr:twoCellAnchor>
  <xdr:oneCellAnchor>
    <xdr:from>
      <xdr:col>14</xdr:col>
      <xdr:colOff>47965</xdr:colOff>
      <xdr:row>3</xdr:row>
      <xdr:rowOff>50433</xdr:rowOff>
    </xdr:from>
    <xdr:ext cx="2195853" cy="804469"/>
    <xdr:pic>
      <xdr:nvPicPr>
        <xdr:cNvPr id="4" name="Imagen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965" y="649147"/>
          <a:ext cx="2195853" cy="80446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47965</xdr:colOff>
      <xdr:row>3</xdr:row>
      <xdr:rowOff>50433</xdr:rowOff>
    </xdr:from>
    <xdr:to>
      <xdr:col>2</xdr:col>
      <xdr:colOff>2243818</xdr:colOff>
      <xdr:row>7</xdr:row>
      <xdr:rowOff>83377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965" y="649147"/>
          <a:ext cx="2195853" cy="8085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209551</xdr:colOff>
      <xdr:row>1</xdr:row>
      <xdr:rowOff>161925</xdr:rowOff>
    </xdr:from>
    <xdr:ext cx="1228724" cy="4373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219075"/>
          <a:ext cx="1228724" cy="43732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209551</xdr:colOff>
      <xdr:row>1</xdr:row>
      <xdr:rowOff>161925</xdr:rowOff>
    </xdr:from>
    <xdr:ext cx="1228724" cy="4373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219075"/>
          <a:ext cx="1228724" cy="43732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209551</xdr:colOff>
      <xdr:row>1</xdr:row>
      <xdr:rowOff>161925</xdr:rowOff>
    </xdr:from>
    <xdr:ext cx="1228724" cy="4373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219075"/>
          <a:ext cx="1228724" cy="43732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209551</xdr:colOff>
      <xdr:row>1</xdr:row>
      <xdr:rowOff>161925</xdr:rowOff>
    </xdr:from>
    <xdr:ext cx="1228724" cy="4373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219075"/>
          <a:ext cx="1228724" cy="43732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209551</xdr:colOff>
      <xdr:row>1</xdr:row>
      <xdr:rowOff>161925</xdr:rowOff>
    </xdr:from>
    <xdr:ext cx="1228724" cy="4373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219075"/>
          <a:ext cx="1228724" cy="43732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jc/Desktop/TRUJILLO/ACTAS/ACTA%205%20TRUJILLO%202018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PRECIOS%20UNITARIOS%202020-EXCELL%20GOB%20R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EPBACKUP/sparejac/Desktop/STEFANNY/INTERVENTORIA/FORMATOS%20PARA%20CONTRATOS/EEP/6A%20y%206B.%20ACTAS%20PARCIA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odriguezd/AppData/Local/Microsoft/Windows/INetCache/Content.Outlook/ICOABHJA/OCS%20Obras%20civiles%20Centr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UX%20OBRAS%20CIVILES%20EMPRESA%20DE%20ENERGIA%20DE%20PEREIRA%20S.A%20E.S.P/INTERVENTORIA%20OBRAS%20CIVILES%20EEP/OBRAS%20PENDIENTES%20CENTRO%20PROY%2069/Presupuesto%20actividades%20centro%202%20con%20trafo%20nuev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D7827\Propuesta%20Econ&#243;mica%20C-DELRIO%20DIS%2002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5"/>
      <sheetName val="1"/>
      <sheetName val="2"/>
      <sheetName val="3"/>
      <sheetName val="4"/>
      <sheetName val="5"/>
      <sheetName val="6"/>
      <sheetName val="10"/>
      <sheetName val="12"/>
      <sheetName val="14"/>
      <sheetName val="21"/>
      <sheetName val="40"/>
      <sheetName val="Ad Caseta"/>
      <sheetName val="Ad Saneamiento"/>
      <sheetName val="Obra Extra"/>
      <sheetName val="ANALISIS"/>
    </sheetNames>
    <sheetDataSet>
      <sheetData sheetId="0">
        <row r="570">
          <cell r="B570">
            <v>1</v>
          </cell>
        </row>
        <row r="951">
          <cell r="H951">
            <v>2358885842.4699998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MANO DE OBRA"/>
      <sheetName val="BASE DE DATOS"/>
      <sheetName val="Hoja1"/>
      <sheetName val="ANALISIS UNITARIOS"/>
      <sheetName val="ITEMS"/>
      <sheetName val="Datos de ejemplo"/>
      <sheetName val="TRANSPORTE"/>
    </sheetNames>
    <sheetDataSet>
      <sheetData sheetId="0"/>
      <sheetData sheetId="1">
        <row r="249">
          <cell r="C249" t="str">
            <v>Un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01"/>
      <sheetName val="1"/>
      <sheetName val="2"/>
      <sheetName val="3"/>
    </sheetNames>
    <sheetDataSet>
      <sheetData sheetId="0">
        <row r="13">
          <cell r="A13">
            <v>1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"/>
      <sheetName val="1"/>
      <sheetName val="2"/>
      <sheetName val="3"/>
      <sheetName val="4"/>
      <sheetName val="5"/>
      <sheetName val="6"/>
      <sheetName val="APUS"/>
      <sheetName val="APUS BASICOS"/>
    </sheetNames>
    <sheetDataSet>
      <sheetData sheetId="0">
        <row r="13">
          <cell r="C13" t="str">
            <v xml:space="preserve">Perforación Microtunel (4 Vías x 4") + Ducto TDP 4" incluye la tubería. </v>
          </cell>
        </row>
        <row r="14">
          <cell r="C14" t="str">
            <v>Demolicion de muro de carcamo o camara, retiro de sobrantes y emboquillado en concreto para perforacion microtunel</v>
          </cell>
        </row>
        <row r="15">
          <cell r="C15" t="str">
            <v>Retiro y reinstalacion de  rejillas en platinas  metalicos para camara transformador</v>
          </cell>
        </row>
        <row r="17">
          <cell r="C17" t="str">
            <v>Instalación de tapa de seguridad en lámina de acero cold-rolled e=3/8"</v>
          </cell>
        </row>
        <row r="18">
          <cell r="C18" t="str">
            <v>Desmonte y sello de tapa de seguridad e=15cm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U.  (2)"/>
      <sheetName val="PRESU (2)"/>
      <sheetName val="A.U. "/>
      <sheetName val="PRESU"/>
      <sheetName val="APU´S"/>
      <sheetName val="APUs BASICOS"/>
      <sheetName val="RECURSOS"/>
      <sheetName val="ANÁLISIS MANO DE OBRA"/>
    </sheetNames>
    <sheetDataSet>
      <sheetData sheetId="0"/>
      <sheetData sheetId="1"/>
      <sheetData sheetId="2"/>
      <sheetData sheetId="3"/>
      <sheetData sheetId="4">
        <row r="93">
          <cell r="E93">
            <v>9566</v>
          </cell>
        </row>
        <row r="105">
          <cell r="B105" t="str">
            <v>Retiro y reinstalacion de  rejillas en platinas  metalicos para camara transformador</v>
          </cell>
          <cell r="C105"/>
          <cell r="D105"/>
          <cell r="E105"/>
        </row>
      </sheetData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APUs"/>
      <sheetName val="Hoja1"/>
    </sheetNames>
    <sheetDataSet>
      <sheetData sheetId="0" refreshError="1">
        <row r="36">
          <cell r="B36" t="str">
            <v>Reparación de domiciliaria alcantarillado de 6" desarrollo 2ml incluye accesorios</v>
          </cell>
        </row>
        <row r="37">
          <cell r="B37" t="str">
            <v>Reparación de domiciliaria alcantarillado de 4" desarrollo 2ml incluye accesorios</v>
          </cell>
        </row>
        <row r="38">
          <cell r="B38" t="str">
            <v>Reparacion acometida domiciliaria acueducto (incluye accesorios)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B1:K87"/>
  <sheetViews>
    <sheetView showGridLines="0" topLeftCell="B1" zoomScale="120" zoomScaleNormal="120" zoomScaleSheetLayoutView="90" workbookViewId="0">
      <selection activeCell="C89" sqref="C89"/>
    </sheetView>
  </sheetViews>
  <sheetFormatPr baseColWidth="10" defaultRowHeight="11.25"/>
  <cols>
    <col min="1" max="1" width="1" style="200" customWidth="1"/>
    <col min="2" max="2" width="3.7109375" style="200" customWidth="1"/>
    <col min="3" max="3" width="36.85546875" style="200" customWidth="1"/>
    <col min="4" max="4" width="15.7109375" style="217" customWidth="1"/>
    <col min="5" max="5" width="11.28515625" style="200" customWidth="1"/>
    <col min="6" max="6" width="12.42578125" style="218" customWidth="1"/>
    <col min="7" max="7" width="16.85546875" style="217" customWidth="1"/>
    <col min="8" max="8" width="1.28515625" style="200" customWidth="1"/>
    <col min="9" max="9" width="13.7109375" style="200" customWidth="1"/>
    <col min="10" max="10" width="13.7109375" style="200" bestFit="1" customWidth="1"/>
    <col min="11" max="11" width="11.85546875" style="200" bestFit="1" customWidth="1"/>
    <col min="12" max="256" width="11.42578125" style="200"/>
    <col min="257" max="257" width="1" style="200" customWidth="1"/>
    <col min="258" max="258" width="3.7109375" style="200" customWidth="1"/>
    <col min="259" max="259" width="39.7109375" style="200" customWidth="1"/>
    <col min="260" max="260" width="15.7109375" style="200" customWidth="1"/>
    <col min="261" max="261" width="12.5703125" style="200" customWidth="1"/>
    <col min="262" max="262" width="28.42578125" style="200" customWidth="1"/>
    <col min="263" max="263" width="18.7109375" style="200" customWidth="1"/>
    <col min="264" max="264" width="1.28515625" style="200" customWidth="1"/>
    <col min="265" max="265" width="13.7109375" style="200" customWidth="1"/>
    <col min="266" max="512" width="11.42578125" style="200"/>
    <col min="513" max="513" width="1" style="200" customWidth="1"/>
    <col min="514" max="514" width="3.7109375" style="200" customWidth="1"/>
    <col min="515" max="515" width="39.7109375" style="200" customWidth="1"/>
    <col min="516" max="516" width="15.7109375" style="200" customWidth="1"/>
    <col min="517" max="517" width="12.5703125" style="200" customWidth="1"/>
    <col min="518" max="518" width="28.42578125" style="200" customWidth="1"/>
    <col min="519" max="519" width="18.7109375" style="200" customWidth="1"/>
    <col min="520" max="520" width="1.28515625" style="200" customWidth="1"/>
    <col min="521" max="521" width="13.7109375" style="200" customWidth="1"/>
    <col min="522" max="768" width="11.42578125" style="200"/>
    <col min="769" max="769" width="1" style="200" customWidth="1"/>
    <col min="770" max="770" width="3.7109375" style="200" customWidth="1"/>
    <col min="771" max="771" width="39.7109375" style="200" customWidth="1"/>
    <col min="772" max="772" width="15.7109375" style="200" customWidth="1"/>
    <col min="773" max="773" width="12.5703125" style="200" customWidth="1"/>
    <col min="774" max="774" width="28.42578125" style="200" customWidth="1"/>
    <col min="775" max="775" width="18.7109375" style="200" customWidth="1"/>
    <col min="776" max="776" width="1.28515625" style="200" customWidth="1"/>
    <col min="777" max="777" width="13.7109375" style="200" customWidth="1"/>
    <col min="778" max="1024" width="11.42578125" style="200"/>
    <col min="1025" max="1025" width="1" style="200" customWidth="1"/>
    <col min="1026" max="1026" width="3.7109375" style="200" customWidth="1"/>
    <col min="1027" max="1027" width="39.7109375" style="200" customWidth="1"/>
    <col min="1028" max="1028" width="15.7109375" style="200" customWidth="1"/>
    <col min="1029" max="1029" width="12.5703125" style="200" customWidth="1"/>
    <col min="1030" max="1030" width="28.42578125" style="200" customWidth="1"/>
    <col min="1031" max="1031" width="18.7109375" style="200" customWidth="1"/>
    <col min="1032" max="1032" width="1.28515625" style="200" customWidth="1"/>
    <col min="1033" max="1033" width="13.7109375" style="200" customWidth="1"/>
    <col min="1034" max="1280" width="11.42578125" style="200"/>
    <col min="1281" max="1281" width="1" style="200" customWidth="1"/>
    <col min="1282" max="1282" width="3.7109375" style="200" customWidth="1"/>
    <col min="1283" max="1283" width="39.7109375" style="200" customWidth="1"/>
    <col min="1284" max="1284" width="15.7109375" style="200" customWidth="1"/>
    <col min="1285" max="1285" width="12.5703125" style="200" customWidth="1"/>
    <col min="1286" max="1286" width="28.42578125" style="200" customWidth="1"/>
    <col min="1287" max="1287" width="18.7109375" style="200" customWidth="1"/>
    <col min="1288" max="1288" width="1.28515625" style="200" customWidth="1"/>
    <col min="1289" max="1289" width="13.7109375" style="200" customWidth="1"/>
    <col min="1290" max="1536" width="11.42578125" style="200"/>
    <col min="1537" max="1537" width="1" style="200" customWidth="1"/>
    <col min="1538" max="1538" width="3.7109375" style="200" customWidth="1"/>
    <col min="1539" max="1539" width="39.7109375" style="200" customWidth="1"/>
    <col min="1540" max="1540" width="15.7109375" style="200" customWidth="1"/>
    <col min="1541" max="1541" width="12.5703125" style="200" customWidth="1"/>
    <col min="1542" max="1542" width="28.42578125" style="200" customWidth="1"/>
    <col min="1543" max="1543" width="18.7109375" style="200" customWidth="1"/>
    <col min="1544" max="1544" width="1.28515625" style="200" customWidth="1"/>
    <col min="1545" max="1545" width="13.7109375" style="200" customWidth="1"/>
    <col min="1546" max="1792" width="11.42578125" style="200"/>
    <col min="1793" max="1793" width="1" style="200" customWidth="1"/>
    <col min="1794" max="1794" width="3.7109375" style="200" customWidth="1"/>
    <col min="1795" max="1795" width="39.7109375" style="200" customWidth="1"/>
    <col min="1796" max="1796" width="15.7109375" style="200" customWidth="1"/>
    <col min="1797" max="1797" width="12.5703125" style="200" customWidth="1"/>
    <col min="1798" max="1798" width="28.42578125" style="200" customWidth="1"/>
    <col min="1799" max="1799" width="18.7109375" style="200" customWidth="1"/>
    <col min="1800" max="1800" width="1.28515625" style="200" customWidth="1"/>
    <col min="1801" max="1801" width="13.7109375" style="200" customWidth="1"/>
    <col min="1802" max="2048" width="11.42578125" style="200"/>
    <col min="2049" max="2049" width="1" style="200" customWidth="1"/>
    <col min="2050" max="2050" width="3.7109375" style="200" customWidth="1"/>
    <col min="2051" max="2051" width="39.7109375" style="200" customWidth="1"/>
    <col min="2052" max="2052" width="15.7109375" style="200" customWidth="1"/>
    <col min="2053" max="2053" width="12.5703125" style="200" customWidth="1"/>
    <col min="2054" max="2054" width="28.42578125" style="200" customWidth="1"/>
    <col min="2055" max="2055" width="18.7109375" style="200" customWidth="1"/>
    <col min="2056" max="2056" width="1.28515625" style="200" customWidth="1"/>
    <col min="2057" max="2057" width="13.7109375" style="200" customWidth="1"/>
    <col min="2058" max="2304" width="11.42578125" style="200"/>
    <col min="2305" max="2305" width="1" style="200" customWidth="1"/>
    <col min="2306" max="2306" width="3.7109375" style="200" customWidth="1"/>
    <col min="2307" max="2307" width="39.7109375" style="200" customWidth="1"/>
    <col min="2308" max="2308" width="15.7109375" style="200" customWidth="1"/>
    <col min="2309" max="2309" width="12.5703125" style="200" customWidth="1"/>
    <col min="2310" max="2310" width="28.42578125" style="200" customWidth="1"/>
    <col min="2311" max="2311" width="18.7109375" style="200" customWidth="1"/>
    <col min="2312" max="2312" width="1.28515625" style="200" customWidth="1"/>
    <col min="2313" max="2313" width="13.7109375" style="200" customWidth="1"/>
    <col min="2314" max="2560" width="11.42578125" style="200"/>
    <col min="2561" max="2561" width="1" style="200" customWidth="1"/>
    <col min="2562" max="2562" width="3.7109375" style="200" customWidth="1"/>
    <col min="2563" max="2563" width="39.7109375" style="200" customWidth="1"/>
    <col min="2564" max="2564" width="15.7109375" style="200" customWidth="1"/>
    <col min="2565" max="2565" width="12.5703125" style="200" customWidth="1"/>
    <col min="2566" max="2566" width="28.42578125" style="200" customWidth="1"/>
    <col min="2567" max="2567" width="18.7109375" style="200" customWidth="1"/>
    <col min="2568" max="2568" width="1.28515625" style="200" customWidth="1"/>
    <col min="2569" max="2569" width="13.7109375" style="200" customWidth="1"/>
    <col min="2570" max="2816" width="11.42578125" style="200"/>
    <col min="2817" max="2817" width="1" style="200" customWidth="1"/>
    <col min="2818" max="2818" width="3.7109375" style="200" customWidth="1"/>
    <col min="2819" max="2819" width="39.7109375" style="200" customWidth="1"/>
    <col min="2820" max="2820" width="15.7109375" style="200" customWidth="1"/>
    <col min="2821" max="2821" width="12.5703125" style="200" customWidth="1"/>
    <col min="2822" max="2822" width="28.42578125" style="200" customWidth="1"/>
    <col min="2823" max="2823" width="18.7109375" style="200" customWidth="1"/>
    <col min="2824" max="2824" width="1.28515625" style="200" customWidth="1"/>
    <col min="2825" max="2825" width="13.7109375" style="200" customWidth="1"/>
    <col min="2826" max="3072" width="11.42578125" style="200"/>
    <col min="3073" max="3073" width="1" style="200" customWidth="1"/>
    <col min="3074" max="3074" width="3.7109375" style="200" customWidth="1"/>
    <col min="3075" max="3075" width="39.7109375" style="200" customWidth="1"/>
    <col min="3076" max="3076" width="15.7109375" style="200" customWidth="1"/>
    <col min="3077" max="3077" width="12.5703125" style="200" customWidth="1"/>
    <col min="3078" max="3078" width="28.42578125" style="200" customWidth="1"/>
    <col min="3079" max="3079" width="18.7109375" style="200" customWidth="1"/>
    <col min="3080" max="3080" width="1.28515625" style="200" customWidth="1"/>
    <col min="3081" max="3081" width="13.7109375" style="200" customWidth="1"/>
    <col min="3082" max="3328" width="11.42578125" style="200"/>
    <col min="3329" max="3329" width="1" style="200" customWidth="1"/>
    <col min="3330" max="3330" width="3.7109375" style="200" customWidth="1"/>
    <col min="3331" max="3331" width="39.7109375" style="200" customWidth="1"/>
    <col min="3332" max="3332" width="15.7109375" style="200" customWidth="1"/>
    <col min="3333" max="3333" width="12.5703125" style="200" customWidth="1"/>
    <col min="3334" max="3334" width="28.42578125" style="200" customWidth="1"/>
    <col min="3335" max="3335" width="18.7109375" style="200" customWidth="1"/>
    <col min="3336" max="3336" width="1.28515625" style="200" customWidth="1"/>
    <col min="3337" max="3337" width="13.7109375" style="200" customWidth="1"/>
    <col min="3338" max="3584" width="11.42578125" style="200"/>
    <col min="3585" max="3585" width="1" style="200" customWidth="1"/>
    <col min="3586" max="3586" width="3.7109375" style="200" customWidth="1"/>
    <col min="3587" max="3587" width="39.7109375" style="200" customWidth="1"/>
    <col min="3588" max="3588" width="15.7109375" style="200" customWidth="1"/>
    <col min="3589" max="3589" width="12.5703125" style="200" customWidth="1"/>
    <col min="3590" max="3590" width="28.42578125" style="200" customWidth="1"/>
    <col min="3591" max="3591" width="18.7109375" style="200" customWidth="1"/>
    <col min="3592" max="3592" width="1.28515625" style="200" customWidth="1"/>
    <col min="3593" max="3593" width="13.7109375" style="200" customWidth="1"/>
    <col min="3594" max="3840" width="11.42578125" style="200"/>
    <col min="3841" max="3841" width="1" style="200" customWidth="1"/>
    <col min="3842" max="3842" width="3.7109375" style="200" customWidth="1"/>
    <col min="3843" max="3843" width="39.7109375" style="200" customWidth="1"/>
    <col min="3844" max="3844" width="15.7109375" style="200" customWidth="1"/>
    <col min="3845" max="3845" width="12.5703125" style="200" customWidth="1"/>
    <col min="3846" max="3846" width="28.42578125" style="200" customWidth="1"/>
    <col min="3847" max="3847" width="18.7109375" style="200" customWidth="1"/>
    <col min="3848" max="3848" width="1.28515625" style="200" customWidth="1"/>
    <col min="3849" max="3849" width="13.7109375" style="200" customWidth="1"/>
    <col min="3850" max="4096" width="11.42578125" style="200"/>
    <col min="4097" max="4097" width="1" style="200" customWidth="1"/>
    <col min="4098" max="4098" width="3.7109375" style="200" customWidth="1"/>
    <col min="4099" max="4099" width="39.7109375" style="200" customWidth="1"/>
    <col min="4100" max="4100" width="15.7109375" style="200" customWidth="1"/>
    <col min="4101" max="4101" width="12.5703125" style="200" customWidth="1"/>
    <col min="4102" max="4102" width="28.42578125" style="200" customWidth="1"/>
    <col min="4103" max="4103" width="18.7109375" style="200" customWidth="1"/>
    <col min="4104" max="4104" width="1.28515625" style="200" customWidth="1"/>
    <col min="4105" max="4105" width="13.7109375" style="200" customWidth="1"/>
    <col min="4106" max="4352" width="11.42578125" style="200"/>
    <col min="4353" max="4353" width="1" style="200" customWidth="1"/>
    <col min="4354" max="4354" width="3.7109375" style="200" customWidth="1"/>
    <col min="4355" max="4355" width="39.7109375" style="200" customWidth="1"/>
    <col min="4356" max="4356" width="15.7109375" style="200" customWidth="1"/>
    <col min="4357" max="4357" width="12.5703125" style="200" customWidth="1"/>
    <col min="4358" max="4358" width="28.42578125" style="200" customWidth="1"/>
    <col min="4359" max="4359" width="18.7109375" style="200" customWidth="1"/>
    <col min="4360" max="4360" width="1.28515625" style="200" customWidth="1"/>
    <col min="4361" max="4361" width="13.7109375" style="200" customWidth="1"/>
    <col min="4362" max="4608" width="11.42578125" style="200"/>
    <col min="4609" max="4609" width="1" style="200" customWidth="1"/>
    <col min="4610" max="4610" width="3.7109375" style="200" customWidth="1"/>
    <col min="4611" max="4611" width="39.7109375" style="200" customWidth="1"/>
    <col min="4612" max="4612" width="15.7109375" style="200" customWidth="1"/>
    <col min="4613" max="4613" width="12.5703125" style="200" customWidth="1"/>
    <col min="4614" max="4614" width="28.42578125" style="200" customWidth="1"/>
    <col min="4615" max="4615" width="18.7109375" style="200" customWidth="1"/>
    <col min="4616" max="4616" width="1.28515625" style="200" customWidth="1"/>
    <col min="4617" max="4617" width="13.7109375" style="200" customWidth="1"/>
    <col min="4618" max="4864" width="11.42578125" style="200"/>
    <col min="4865" max="4865" width="1" style="200" customWidth="1"/>
    <col min="4866" max="4866" width="3.7109375" style="200" customWidth="1"/>
    <col min="4867" max="4867" width="39.7109375" style="200" customWidth="1"/>
    <col min="4868" max="4868" width="15.7109375" style="200" customWidth="1"/>
    <col min="4869" max="4869" width="12.5703125" style="200" customWidth="1"/>
    <col min="4870" max="4870" width="28.42578125" style="200" customWidth="1"/>
    <col min="4871" max="4871" width="18.7109375" style="200" customWidth="1"/>
    <col min="4872" max="4872" width="1.28515625" style="200" customWidth="1"/>
    <col min="4873" max="4873" width="13.7109375" style="200" customWidth="1"/>
    <col min="4874" max="5120" width="11.42578125" style="200"/>
    <col min="5121" max="5121" width="1" style="200" customWidth="1"/>
    <col min="5122" max="5122" width="3.7109375" style="200" customWidth="1"/>
    <col min="5123" max="5123" width="39.7109375" style="200" customWidth="1"/>
    <col min="5124" max="5124" width="15.7109375" style="200" customWidth="1"/>
    <col min="5125" max="5125" width="12.5703125" style="200" customWidth="1"/>
    <col min="5126" max="5126" width="28.42578125" style="200" customWidth="1"/>
    <col min="5127" max="5127" width="18.7109375" style="200" customWidth="1"/>
    <col min="5128" max="5128" width="1.28515625" style="200" customWidth="1"/>
    <col min="5129" max="5129" width="13.7109375" style="200" customWidth="1"/>
    <col min="5130" max="5376" width="11.42578125" style="200"/>
    <col min="5377" max="5377" width="1" style="200" customWidth="1"/>
    <col min="5378" max="5378" width="3.7109375" style="200" customWidth="1"/>
    <col min="5379" max="5379" width="39.7109375" style="200" customWidth="1"/>
    <col min="5380" max="5380" width="15.7109375" style="200" customWidth="1"/>
    <col min="5381" max="5381" width="12.5703125" style="200" customWidth="1"/>
    <col min="5382" max="5382" width="28.42578125" style="200" customWidth="1"/>
    <col min="5383" max="5383" width="18.7109375" style="200" customWidth="1"/>
    <col min="5384" max="5384" width="1.28515625" style="200" customWidth="1"/>
    <col min="5385" max="5385" width="13.7109375" style="200" customWidth="1"/>
    <col min="5386" max="5632" width="11.42578125" style="200"/>
    <col min="5633" max="5633" width="1" style="200" customWidth="1"/>
    <col min="5634" max="5634" width="3.7109375" style="200" customWidth="1"/>
    <col min="5635" max="5635" width="39.7109375" style="200" customWidth="1"/>
    <col min="5636" max="5636" width="15.7109375" style="200" customWidth="1"/>
    <col min="5637" max="5637" width="12.5703125" style="200" customWidth="1"/>
    <col min="5638" max="5638" width="28.42578125" style="200" customWidth="1"/>
    <col min="5639" max="5639" width="18.7109375" style="200" customWidth="1"/>
    <col min="5640" max="5640" width="1.28515625" style="200" customWidth="1"/>
    <col min="5641" max="5641" width="13.7109375" style="200" customWidth="1"/>
    <col min="5642" max="5888" width="11.42578125" style="200"/>
    <col min="5889" max="5889" width="1" style="200" customWidth="1"/>
    <col min="5890" max="5890" width="3.7109375" style="200" customWidth="1"/>
    <col min="5891" max="5891" width="39.7109375" style="200" customWidth="1"/>
    <col min="5892" max="5892" width="15.7109375" style="200" customWidth="1"/>
    <col min="5893" max="5893" width="12.5703125" style="200" customWidth="1"/>
    <col min="5894" max="5894" width="28.42578125" style="200" customWidth="1"/>
    <col min="5895" max="5895" width="18.7109375" style="200" customWidth="1"/>
    <col min="5896" max="5896" width="1.28515625" style="200" customWidth="1"/>
    <col min="5897" max="5897" width="13.7109375" style="200" customWidth="1"/>
    <col min="5898" max="6144" width="11.42578125" style="200"/>
    <col min="6145" max="6145" width="1" style="200" customWidth="1"/>
    <col min="6146" max="6146" width="3.7109375" style="200" customWidth="1"/>
    <col min="6147" max="6147" width="39.7109375" style="200" customWidth="1"/>
    <col min="6148" max="6148" width="15.7109375" style="200" customWidth="1"/>
    <col min="6149" max="6149" width="12.5703125" style="200" customWidth="1"/>
    <col min="6150" max="6150" width="28.42578125" style="200" customWidth="1"/>
    <col min="6151" max="6151" width="18.7109375" style="200" customWidth="1"/>
    <col min="6152" max="6152" width="1.28515625" style="200" customWidth="1"/>
    <col min="6153" max="6153" width="13.7109375" style="200" customWidth="1"/>
    <col min="6154" max="6400" width="11.42578125" style="200"/>
    <col min="6401" max="6401" width="1" style="200" customWidth="1"/>
    <col min="6402" max="6402" width="3.7109375" style="200" customWidth="1"/>
    <col min="6403" max="6403" width="39.7109375" style="200" customWidth="1"/>
    <col min="6404" max="6404" width="15.7109375" style="200" customWidth="1"/>
    <col min="6405" max="6405" width="12.5703125" style="200" customWidth="1"/>
    <col min="6406" max="6406" width="28.42578125" style="200" customWidth="1"/>
    <col min="6407" max="6407" width="18.7109375" style="200" customWidth="1"/>
    <col min="6408" max="6408" width="1.28515625" style="200" customWidth="1"/>
    <col min="6409" max="6409" width="13.7109375" style="200" customWidth="1"/>
    <col min="6410" max="6656" width="11.42578125" style="200"/>
    <col min="6657" max="6657" width="1" style="200" customWidth="1"/>
    <col min="6658" max="6658" width="3.7109375" style="200" customWidth="1"/>
    <col min="6659" max="6659" width="39.7109375" style="200" customWidth="1"/>
    <col min="6660" max="6660" width="15.7109375" style="200" customWidth="1"/>
    <col min="6661" max="6661" width="12.5703125" style="200" customWidth="1"/>
    <col min="6662" max="6662" width="28.42578125" style="200" customWidth="1"/>
    <col min="6663" max="6663" width="18.7109375" style="200" customWidth="1"/>
    <col min="6664" max="6664" width="1.28515625" style="200" customWidth="1"/>
    <col min="6665" max="6665" width="13.7109375" style="200" customWidth="1"/>
    <col min="6666" max="6912" width="11.42578125" style="200"/>
    <col min="6913" max="6913" width="1" style="200" customWidth="1"/>
    <col min="6914" max="6914" width="3.7109375" style="200" customWidth="1"/>
    <col min="6915" max="6915" width="39.7109375" style="200" customWidth="1"/>
    <col min="6916" max="6916" width="15.7109375" style="200" customWidth="1"/>
    <col min="6917" max="6917" width="12.5703125" style="200" customWidth="1"/>
    <col min="6918" max="6918" width="28.42578125" style="200" customWidth="1"/>
    <col min="6919" max="6919" width="18.7109375" style="200" customWidth="1"/>
    <col min="6920" max="6920" width="1.28515625" style="200" customWidth="1"/>
    <col min="6921" max="6921" width="13.7109375" style="200" customWidth="1"/>
    <col min="6922" max="7168" width="11.42578125" style="200"/>
    <col min="7169" max="7169" width="1" style="200" customWidth="1"/>
    <col min="7170" max="7170" width="3.7109375" style="200" customWidth="1"/>
    <col min="7171" max="7171" width="39.7109375" style="200" customWidth="1"/>
    <col min="7172" max="7172" width="15.7109375" style="200" customWidth="1"/>
    <col min="7173" max="7173" width="12.5703125" style="200" customWidth="1"/>
    <col min="7174" max="7174" width="28.42578125" style="200" customWidth="1"/>
    <col min="7175" max="7175" width="18.7109375" style="200" customWidth="1"/>
    <col min="7176" max="7176" width="1.28515625" style="200" customWidth="1"/>
    <col min="7177" max="7177" width="13.7109375" style="200" customWidth="1"/>
    <col min="7178" max="7424" width="11.42578125" style="200"/>
    <col min="7425" max="7425" width="1" style="200" customWidth="1"/>
    <col min="7426" max="7426" width="3.7109375" style="200" customWidth="1"/>
    <col min="7427" max="7427" width="39.7109375" style="200" customWidth="1"/>
    <col min="7428" max="7428" width="15.7109375" style="200" customWidth="1"/>
    <col min="7429" max="7429" width="12.5703125" style="200" customWidth="1"/>
    <col min="7430" max="7430" width="28.42578125" style="200" customWidth="1"/>
    <col min="7431" max="7431" width="18.7109375" style="200" customWidth="1"/>
    <col min="7432" max="7432" width="1.28515625" style="200" customWidth="1"/>
    <col min="7433" max="7433" width="13.7109375" style="200" customWidth="1"/>
    <col min="7434" max="7680" width="11.42578125" style="200"/>
    <col min="7681" max="7681" width="1" style="200" customWidth="1"/>
    <col min="7682" max="7682" width="3.7109375" style="200" customWidth="1"/>
    <col min="7683" max="7683" width="39.7109375" style="200" customWidth="1"/>
    <col min="7684" max="7684" width="15.7109375" style="200" customWidth="1"/>
    <col min="7685" max="7685" width="12.5703125" style="200" customWidth="1"/>
    <col min="7686" max="7686" width="28.42578125" style="200" customWidth="1"/>
    <col min="7687" max="7687" width="18.7109375" style="200" customWidth="1"/>
    <col min="7688" max="7688" width="1.28515625" style="200" customWidth="1"/>
    <col min="7689" max="7689" width="13.7109375" style="200" customWidth="1"/>
    <col min="7690" max="7936" width="11.42578125" style="200"/>
    <col min="7937" max="7937" width="1" style="200" customWidth="1"/>
    <col min="7938" max="7938" width="3.7109375" style="200" customWidth="1"/>
    <col min="7939" max="7939" width="39.7109375" style="200" customWidth="1"/>
    <col min="7940" max="7940" width="15.7109375" style="200" customWidth="1"/>
    <col min="7941" max="7941" width="12.5703125" style="200" customWidth="1"/>
    <col min="7942" max="7942" width="28.42578125" style="200" customWidth="1"/>
    <col min="7943" max="7943" width="18.7109375" style="200" customWidth="1"/>
    <col min="7944" max="7944" width="1.28515625" style="200" customWidth="1"/>
    <col min="7945" max="7945" width="13.7109375" style="200" customWidth="1"/>
    <col min="7946" max="8192" width="11.42578125" style="200"/>
    <col min="8193" max="8193" width="1" style="200" customWidth="1"/>
    <col min="8194" max="8194" width="3.7109375" style="200" customWidth="1"/>
    <col min="8195" max="8195" width="39.7109375" style="200" customWidth="1"/>
    <col min="8196" max="8196" width="15.7109375" style="200" customWidth="1"/>
    <col min="8197" max="8197" width="12.5703125" style="200" customWidth="1"/>
    <col min="8198" max="8198" width="28.42578125" style="200" customWidth="1"/>
    <col min="8199" max="8199" width="18.7109375" style="200" customWidth="1"/>
    <col min="8200" max="8200" width="1.28515625" style="200" customWidth="1"/>
    <col min="8201" max="8201" width="13.7109375" style="200" customWidth="1"/>
    <col min="8202" max="8448" width="11.42578125" style="200"/>
    <col min="8449" max="8449" width="1" style="200" customWidth="1"/>
    <col min="8450" max="8450" width="3.7109375" style="200" customWidth="1"/>
    <col min="8451" max="8451" width="39.7109375" style="200" customWidth="1"/>
    <col min="8452" max="8452" width="15.7109375" style="200" customWidth="1"/>
    <col min="8453" max="8453" width="12.5703125" style="200" customWidth="1"/>
    <col min="8454" max="8454" width="28.42578125" style="200" customWidth="1"/>
    <col min="8455" max="8455" width="18.7109375" style="200" customWidth="1"/>
    <col min="8456" max="8456" width="1.28515625" style="200" customWidth="1"/>
    <col min="8457" max="8457" width="13.7109375" style="200" customWidth="1"/>
    <col min="8458" max="8704" width="11.42578125" style="200"/>
    <col min="8705" max="8705" width="1" style="200" customWidth="1"/>
    <col min="8706" max="8706" width="3.7109375" style="200" customWidth="1"/>
    <col min="8707" max="8707" width="39.7109375" style="200" customWidth="1"/>
    <col min="8708" max="8708" width="15.7109375" style="200" customWidth="1"/>
    <col min="8709" max="8709" width="12.5703125" style="200" customWidth="1"/>
    <col min="8710" max="8710" width="28.42578125" style="200" customWidth="1"/>
    <col min="8711" max="8711" width="18.7109375" style="200" customWidth="1"/>
    <col min="8712" max="8712" width="1.28515625" style="200" customWidth="1"/>
    <col min="8713" max="8713" width="13.7109375" style="200" customWidth="1"/>
    <col min="8714" max="8960" width="11.42578125" style="200"/>
    <col min="8961" max="8961" width="1" style="200" customWidth="1"/>
    <col min="8962" max="8962" width="3.7109375" style="200" customWidth="1"/>
    <col min="8963" max="8963" width="39.7109375" style="200" customWidth="1"/>
    <col min="8964" max="8964" width="15.7109375" style="200" customWidth="1"/>
    <col min="8965" max="8965" width="12.5703125" style="200" customWidth="1"/>
    <col min="8966" max="8966" width="28.42578125" style="200" customWidth="1"/>
    <col min="8967" max="8967" width="18.7109375" style="200" customWidth="1"/>
    <col min="8968" max="8968" width="1.28515625" style="200" customWidth="1"/>
    <col min="8969" max="8969" width="13.7109375" style="200" customWidth="1"/>
    <col min="8970" max="9216" width="11.42578125" style="200"/>
    <col min="9217" max="9217" width="1" style="200" customWidth="1"/>
    <col min="9218" max="9218" width="3.7109375" style="200" customWidth="1"/>
    <col min="9219" max="9219" width="39.7109375" style="200" customWidth="1"/>
    <col min="9220" max="9220" width="15.7109375" style="200" customWidth="1"/>
    <col min="9221" max="9221" width="12.5703125" style="200" customWidth="1"/>
    <col min="9222" max="9222" width="28.42578125" style="200" customWidth="1"/>
    <col min="9223" max="9223" width="18.7109375" style="200" customWidth="1"/>
    <col min="9224" max="9224" width="1.28515625" style="200" customWidth="1"/>
    <col min="9225" max="9225" width="13.7109375" style="200" customWidth="1"/>
    <col min="9226" max="9472" width="11.42578125" style="200"/>
    <col min="9473" max="9473" width="1" style="200" customWidth="1"/>
    <col min="9474" max="9474" width="3.7109375" style="200" customWidth="1"/>
    <col min="9475" max="9475" width="39.7109375" style="200" customWidth="1"/>
    <col min="9476" max="9476" width="15.7109375" style="200" customWidth="1"/>
    <col min="9477" max="9477" width="12.5703125" style="200" customWidth="1"/>
    <col min="9478" max="9478" width="28.42578125" style="200" customWidth="1"/>
    <col min="9479" max="9479" width="18.7109375" style="200" customWidth="1"/>
    <col min="9480" max="9480" width="1.28515625" style="200" customWidth="1"/>
    <col min="9481" max="9481" width="13.7109375" style="200" customWidth="1"/>
    <col min="9482" max="9728" width="11.42578125" style="200"/>
    <col min="9729" max="9729" width="1" style="200" customWidth="1"/>
    <col min="9730" max="9730" width="3.7109375" style="200" customWidth="1"/>
    <col min="9731" max="9731" width="39.7109375" style="200" customWidth="1"/>
    <col min="9732" max="9732" width="15.7109375" style="200" customWidth="1"/>
    <col min="9733" max="9733" width="12.5703125" style="200" customWidth="1"/>
    <col min="9734" max="9734" width="28.42578125" style="200" customWidth="1"/>
    <col min="9735" max="9735" width="18.7109375" style="200" customWidth="1"/>
    <col min="9736" max="9736" width="1.28515625" style="200" customWidth="1"/>
    <col min="9737" max="9737" width="13.7109375" style="200" customWidth="1"/>
    <col min="9738" max="9984" width="11.42578125" style="200"/>
    <col min="9985" max="9985" width="1" style="200" customWidth="1"/>
    <col min="9986" max="9986" width="3.7109375" style="200" customWidth="1"/>
    <col min="9987" max="9987" width="39.7109375" style="200" customWidth="1"/>
    <col min="9988" max="9988" width="15.7109375" style="200" customWidth="1"/>
    <col min="9989" max="9989" width="12.5703125" style="200" customWidth="1"/>
    <col min="9990" max="9990" width="28.42578125" style="200" customWidth="1"/>
    <col min="9991" max="9991" width="18.7109375" style="200" customWidth="1"/>
    <col min="9992" max="9992" width="1.28515625" style="200" customWidth="1"/>
    <col min="9993" max="9993" width="13.7109375" style="200" customWidth="1"/>
    <col min="9994" max="10240" width="11.42578125" style="200"/>
    <col min="10241" max="10241" width="1" style="200" customWidth="1"/>
    <col min="10242" max="10242" width="3.7109375" style="200" customWidth="1"/>
    <col min="10243" max="10243" width="39.7109375" style="200" customWidth="1"/>
    <col min="10244" max="10244" width="15.7109375" style="200" customWidth="1"/>
    <col min="10245" max="10245" width="12.5703125" style="200" customWidth="1"/>
    <col min="10246" max="10246" width="28.42578125" style="200" customWidth="1"/>
    <col min="10247" max="10247" width="18.7109375" style="200" customWidth="1"/>
    <col min="10248" max="10248" width="1.28515625" style="200" customWidth="1"/>
    <col min="10249" max="10249" width="13.7109375" style="200" customWidth="1"/>
    <col min="10250" max="10496" width="11.42578125" style="200"/>
    <col min="10497" max="10497" width="1" style="200" customWidth="1"/>
    <col min="10498" max="10498" width="3.7109375" style="200" customWidth="1"/>
    <col min="10499" max="10499" width="39.7109375" style="200" customWidth="1"/>
    <col min="10500" max="10500" width="15.7109375" style="200" customWidth="1"/>
    <col min="10501" max="10501" width="12.5703125" style="200" customWidth="1"/>
    <col min="10502" max="10502" width="28.42578125" style="200" customWidth="1"/>
    <col min="10503" max="10503" width="18.7109375" style="200" customWidth="1"/>
    <col min="10504" max="10504" width="1.28515625" style="200" customWidth="1"/>
    <col min="10505" max="10505" width="13.7109375" style="200" customWidth="1"/>
    <col min="10506" max="10752" width="11.42578125" style="200"/>
    <col min="10753" max="10753" width="1" style="200" customWidth="1"/>
    <col min="10754" max="10754" width="3.7109375" style="200" customWidth="1"/>
    <col min="10755" max="10755" width="39.7109375" style="200" customWidth="1"/>
    <col min="10756" max="10756" width="15.7109375" style="200" customWidth="1"/>
    <col min="10757" max="10757" width="12.5703125" style="200" customWidth="1"/>
    <col min="10758" max="10758" width="28.42578125" style="200" customWidth="1"/>
    <col min="10759" max="10759" width="18.7109375" style="200" customWidth="1"/>
    <col min="10760" max="10760" width="1.28515625" style="200" customWidth="1"/>
    <col min="10761" max="10761" width="13.7109375" style="200" customWidth="1"/>
    <col min="10762" max="11008" width="11.42578125" style="200"/>
    <col min="11009" max="11009" width="1" style="200" customWidth="1"/>
    <col min="11010" max="11010" width="3.7109375" style="200" customWidth="1"/>
    <col min="11011" max="11011" width="39.7109375" style="200" customWidth="1"/>
    <col min="11012" max="11012" width="15.7109375" style="200" customWidth="1"/>
    <col min="11013" max="11013" width="12.5703125" style="200" customWidth="1"/>
    <col min="11014" max="11014" width="28.42578125" style="200" customWidth="1"/>
    <col min="11015" max="11015" width="18.7109375" style="200" customWidth="1"/>
    <col min="11016" max="11016" width="1.28515625" style="200" customWidth="1"/>
    <col min="11017" max="11017" width="13.7109375" style="200" customWidth="1"/>
    <col min="11018" max="11264" width="11.42578125" style="200"/>
    <col min="11265" max="11265" width="1" style="200" customWidth="1"/>
    <col min="11266" max="11266" width="3.7109375" style="200" customWidth="1"/>
    <col min="11267" max="11267" width="39.7109375" style="200" customWidth="1"/>
    <col min="11268" max="11268" width="15.7109375" style="200" customWidth="1"/>
    <col min="11269" max="11269" width="12.5703125" style="200" customWidth="1"/>
    <col min="11270" max="11270" width="28.42578125" style="200" customWidth="1"/>
    <col min="11271" max="11271" width="18.7109375" style="200" customWidth="1"/>
    <col min="11272" max="11272" width="1.28515625" style="200" customWidth="1"/>
    <col min="11273" max="11273" width="13.7109375" style="200" customWidth="1"/>
    <col min="11274" max="11520" width="11.42578125" style="200"/>
    <col min="11521" max="11521" width="1" style="200" customWidth="1"/>
    <col min="11522" max="11522" width="3.7109375" style="200" customWidth="1"/>
    <col min="11523" max="11523" width="39.7109375" style="200" customWidth="1"/>
    <col min="11524" max="11524" width="15.7109375" style="200" customWidth="1"/>
    <col min="11525" max="11525" width="12.5703125" style="200" customWidth="1"/>
    <col min="11526" max="11526" width="28.42578125" style="200" customWidth="1"/>
    <col min="11527" max="11527" width="18.7109375" style="200" customWidth="1"/>
    <col min="11528" max="11528" width="1.28515625" style="200" customWidth="1"/>
    <col min="11529" max="11529" width="13.7109375" style="200" customWidth="1"/>
    <col min="11530" max="11776" width="11.42578125" style="200"/>
    <col min="11777" max="11777" width="1" style="200" customWidth="1"/>
    <col min="11778" max="11778" width="3.7109375" style="200" customWidth="1"/>
    <col min="11779" max="11779" width="39.7109375" style="200" customWidth="1"/>
    <col min="11780" max="11780" width="15.7109375" style="200" customWidth="1"/>
    <col min="11781" max="11781" width="12.5703125" style="200" customWidth="1"/>
    <col min="11782" max="11782" width="28.42578125" style="200" customWidth="1"/>
    <col min="11783" max="11783" width="18.7109375" style="200" customWidth="1"/>
    <col min="11784" max="11784" width="1.28515625" style="200" customWidth="1"/>
    <col min="11785" max="11785" width="13.7109375" style="200" customWidth="1"/>
    <col min="11786" max="12032" width="11.42578125" style="200"/>
    <col min="12033" max="12033" width="1" style="200" customWidth="1"/>
    <col min="12034" max="12034" width="3.7109375" style="200" customWidth="1"/>
    <col min="12035" max="12035" width="39.7109375" style="200" customWidth="1"/>
    <col min="12036" max="12036" width="15.7109375" style="200" customWidth="1"/>
    <col min="12037" max="12037" width="12.5703125" style="200" customWidth="1"/>
    <col min="12038" max="12038" width="28.42578125" style="200" customWidth="1"/>
    <col min="12039" max="12039" width="18.7109375" style="200" customWidth="1"/>
    <col min="12040" max="12040" width="1.28515625" style="200" customWidth="1"/>
    <col min="12041" max="12041" width="13.7109375" style="200" customWidth="1"/>
    <col min="12042" max="12288" width="11.42578125" style="200"/>
    <col min="12289" max="12289" width="1" style="200" customWidth="1"/>
    <col min="12290" max="12290" width="3.7109375" style="200" customWidth="1"/>
    <col min="12291" max="12291" width="39.7109375" style="200" customWidth="1"/>
    <col min="12292" max="12292" width="15.7109375" style="200" customWidth="1"/>
    <col min="12293" max="12293" width="12.5703125" style="200" customWidth="1"/>
    <col min="12294" max="12294" width="28.42578125" style="200" customWidth="1"/>
    <col min="12295" max="12295" width="18.7109375" style="200" customWidth="1"/>
    <col min="12296" max="12296" width="1.28515625" style="200" customWidth="1"/>
    <col min="12297" max="12297" width="13.7109375" style="200" customWidth="1"/>
    <col min="12298" max="12544" width="11.42578125" style="200"/>
    <col min="12545" max="12545" width="1" style="200" customWidth="1"/>
    <col min="12546" max="12546" width="3.7109375" style="200" customWidth="1"/>
    <col min="12547" max="12547" width="39.7109375" style="200" customWidth="1"/>
    <col min="12548" max="12548" width="15.7109375" style="200" customWidth="1"/>
    <col min="12549" max="12549" width="12.5703125" style="200" customWidth="1"/>
    <col min="12550" max="12550" width="28.42578125" style="200" customWidth="1"/>
    <col min="12551" max="12551" width="18.7109375" style="200" customWidth="1"/>
    <col min="12552" max="12552" width="1.28515625" style="200" customWidth="1"/>
    <col min="12553" max="12553" width="13.7109375" style="200" customWidth="1"/>
    <col min="12554" max="12800" width="11.42578125" style="200"/>
    <col min="12801" max="12801" width="1" style="200" customWidth="1"/>
    <col min="12802" max="12802" width="3.7109375" style="200" customWidth="1"/>
    <col min="12803" max="12803" width="39.7109375" style="200" customWidth="1"/>
    <col min="12804" max="12804" width="15.7109375" style="200" customWidth="1"/>
    <col min="12805" max="12805" width="12.5703125" style="200" customWidth="1"/>
    <col min="12806" max="12806" width="28.42578125" style="200" customWidth="1"/>
    <col min="12807" max="12807" width="18.7109375" style="200" customWidth="1"/>
    <col min="12808" max="12808" width="1.28515625" style="200" customWidth="1"/>
    <col min="12809" max="12809" width="13.7109375" style="200" customWidth="1"/>
    <col min="12810" max="13056" width="11.42578125" style="200"/>
    <col min="13057" max="13057" width="1" style="200" customWidth="1"/>
    <col min="13058" max="13058" width="3.7109375" style="200" customWidth="1"/>
    <col min="13059" max="13059" width="39.7109375" style="200" customWidth="1"/>
    <col min="13060" max="13060" width="15.7109375" style="200" customWidth="1"/>
    <col min="13061" max="13061" width="12.5703125" style="200" customWidth="1"/>
    <col min="13062" max="13062" width="28.42578125" style="200" customWidth="1"/>
    <col min="13063" max="13063" width="18.7109375" style="200" customWidth="1"/>
    <col min="13064" max="13064" width="1.28515625" style="200" customWidth="1"/>
    <col min="13065" max="13065" width="13.7109375" style="200" customWidth="1"/>
    <col min="13066" max="13312" width="11.42578125" style="200"/>
    <col min="13313" max="13313" width="1" style="200" customWidth="1"/>
    <col min="13314" max="13314" width="3.7109375" style="200" customWidth="1"/>
    <col min="13315" max="13315" width="39.7109375" style="200" customWidth="1"/>
    <col min="13316" max="13316" width="15.7109375" style="200" customWidth="1"/>
    <col min="13317" max="13317" width="12.5703125" style="200" customWidth="1"/>
    <col min="13318" max="13318" width="28.42578125" style="200" customWidth="1"/>
    <col min="13319" max="13319" width="18.7109375" style="200" customWidth="1"/>
    <col min="13320" max="13320" width="1.28515625" style="200" customWidth="1"/>
    <col min="13321" max="13321" width="13.7109375" style="200" customWidth="1"/>
    <col min="13322" max="13568" width="11.42578125" style="200"/>
    <col min="13569" max="13569" width="1" style="200" customWidth="1"/>
    <col min="13570" max="13570" width="3.7109375" style="200" customWidth="1"/>
    <col min="13571" max="13571" width="39.7109375" style="200" customWidth="1"/>
    <col min="13572" max="13572" width="15.7109375" style="200" customWidth="1"/>
    <col min="13573" max="13573" width="12.5703125" style="200" customWidth="1"/>
    <col min="13574" max="13574" width="28.42578125" style="200" customWidth="1"/>
    <col min="13575" max="13575" width="18.7109375" style="200" customWidth="1"/>
    <col min="13576" max="13576" width="1.28515625" style="200" customWidth="1"/>
    <col min="13577" max="13577" width="13.7109375" style="200" customWidth="1"/>
    <col min="13578" max="13824" width="11.42578125" style="200"/>
    <col min="13825" max="13825" width="1" style="200" customWidth="1"/>
    <col min="13826" max="13826" width="3.7109375" style="200" customWidth="1"/>
    <col min="13827" max="13827" width="39.7109375" style="200" customWidth="1"/>
    <col min="13828" max="13828" width="15.7109375" style="200" customWidth="1"/>
    <col min="13829" max="13829" width="12.5703125" style="200" customWidth="1"/>
    <col min="13830" max="13830" width="28.42578125" style="200" customWidth="1"/>
    <col min="13831" max="13831" width="18.7109375" style="200" customWidth="1"/>
    <col min="13832" max="13832" width="1.28515625" style="200" customWidth="1"/>
    <col min="13833" max="13833" width="13.7109375" style="200" customWidth="1"/>
    <col min="13834" max="14080" width="11.42578125" style="200"/>
    <col min="14081" max="14081" width="1" style="200" customWidth="1"/>
    <col min="14082" max="14082" width="3.7109375" style="200" customWidth="1"/>
    <col min="14083" max="14083" width="39.7109375" style="200" customWidth="1"/>
    <col min="14084" max="14084" width="15.7109375" style="200" customWidth="1"/>
    <col min="14085" max="14085" width="12.5703125" style="200" customWidth="1"/>
    <col min="14086" max="14086" width="28.42578125" style="200" customWidth="1"/>
    <col min="14087" max="14087" width="18.7109375" style="200" customWidth="1"/>
    <col min="14088" max="14088" width="1.28515625" style="200" customWidth="1"/>
    <col min="14089" max="14089" width="13.7109375" style="200" customWidth="1"/>
    <col min="14090" max="14336" width="11.42578125" style="200"/>
    <col min="14337" max="14337" width="1" style="200" customWidth="1"/>
    <col min="14338" max="14338" width="3.7109375" style="200" customWidth="1"/>
    <col min="14339" max="14339" width="39.7109375" style="200" customWidth="1"/>
    <col min="14340" max="14340" width="15.7109375" style="200" customWidth="1"/>
    <col min="14341" max="14341" width="12.5703125" style="200" customWidth="1"/>
    <col min="14342" max="14342" width="28.42578125" style="200" customWidth="1"/>
    <col min="14343" max="14343" width="18.7109375" style="200" customWidth="1"/>
    <col min="14344" max="14344" width="1.28515625" style="200" customWidth="1"/>
    <col min="14345" max="14345" width="13.7109375" style="200" customWidth="1"/>
    <col min="14346" max="14592" width="11.42578125" style="200"/>
    <col min="14593" max="14593" width="1" style="200" customWidth="1"/>
    <col min="14594" max="14594" width="3.7109375" style="200" customWidth="1"/>
    <col min="14595" max="14595" width="39.7109375" style="200" customWidth="1"/>
    <col min="14596" max="14596" width="15.7109375" style="200" customWidth="1"/>
    <col min="14597" max="14597" width="12.5703125" style="200" customWidth="1"/>
    <col min="14598" max="14598" width="28.42578125" style="200" customWidth="1"/>
    <col min="14599" max="14599" width="18.7109375" style="200" customWidth="1"/>
    <col min="14600" max="14600" width="1.28515625" style="200" customWidth="1"/>
    <col min="14601" max="14601" width="13.7109375" style="200" customWidth="1"/>
    <col min="14602" max="14848" width="11.42578125" style="200"/>
    <col min="14849" max="14849" width="1" style="200" customWidth="1"/>
    <col min="14850" max="14850" width="3.7109375" style="200" customWidth="1"/>
    <col min="14851" max="14851" width="39.7109375" style="200" customWidth="1"/>
    <col min="14852" max="14852" width="15.7109375" style="200" customWidth="1"/>
    <col min="14853" max="14853" width="12.5703125" style="200" customWidth="1"/>
    <col min="14854" max="14854" width="28.42578125" style="200" customWidth="1"/>
    <col min="14855" max="14855" width="18.7109375" style="200" customWidth="1"/>
    <col min="14856" max="14856" width="1.28515625" style="200" customWidth="1"/>
    <col min="14857" max="14857" width="13.7109375" style="200" customWidth="1"/>
    <col min="14858" max="15104" width="11.42578125" style="200"/>
    <col min="15105" max="15105" width="1" style="200" customWidth="1"/>
    <col min="15106" max="15106" width="3.7109375" style="200" customWidth="1"/>
    <col min="15107" max="15107" width="39.7109375" style="200" customWidth="1"/>
    <col min="15108" max="15108" width="15.7109375" style="200" customWidth="1"/>
    <col min="15109" max="15109" width="12.5703125" style="200" customWidth="1"/>
    <col min="15110" max="15110" width="28.42578125" style="200" customWidth="1"/>
    <col min="15111" max="15111" width="18.7109375" style="200" customWidth="1"/>
    <col min="15112" max="15112" width="1.28515625" style="200" customWidth="1"/>
    <col min="15113" max="15113" width="13.7109375" style="200" customWidth="1"/>
    <col min="15114" max="15360" width="11.42578125" style="200"/>
    <col min="15361" max="15361" width="1" style="200" customWidth="1"/>
    <col min="15362" max="15362" width="3.7109375" style="200" customWidth="1"/>
    <col min="15363" max="15363" width="39.7109375" style="200" customWidth="1"/>
    <col min="15364" max="15364" width="15.7109375" style="200" customWidth="1"/>
    <col min="15365" max="15365" width="12.5703125" style="200" customWidth="1"/>
    <col min="15366" max="15366" width="28.42578125" style="200" customWidth="1"/>
    <col min="15367" max="15367" width="18.7109375" style="200" customWidth="1"/>
    <col min="15368" max="15368" width="1.28515625" style="200" customWidth="1"/>
    <col min="15369" max="15369" width="13.7109375" style="200" customWidth="1"/>
    <col min="15370" max="15616" width="11.42578125" style="200"/>
    <col min="15617" max="15617" width="1" style="200" customWidth="1"/>
    <col min="15618" max="15618" width="3.7109375" style="200" customWidth="1"/>
    <col min="15619" max="15619" width="39.7109375" style="200" customWidth="1"/>
    <col min="15620" max="15620" width="15.7109375" style="200" customWidth="1"/>
    <col min="15621" max="15621" width="12.5703125" style="200" customWidth="1"/>
    <col min="15622" max="15622" width="28.42578125" style="200" customWidth="1"/>
    <col min="15623" max="15623" width="18.7109375" style="200" customWidth="1"/>
    <col min="15624" max="15624" width="1.28515625" style="200" customWidth="1"/>
    <col min="15625" max="15625" width="13.7109375" style="200" customWidth="1"/>
    <col min="15626" max="15872" width="11.42578125" style="200"/>
    <col min="15873" max="15873" width="1" style="200" customWidth="1"/>
    <col min="15874" max="15874" width="3.7109375" style="200" customWidth="1"/>
    <col min="15875" max="15875" width="39.7109375" style="200" customWidth="1"/>
    <col min="15876" max="15876" width="15.7109375" style="200" customWidth="1"/>
    <col min="15877" max="15877" width="12.5703125" style="200" customWidth="1"/>
    <col min="15878" max="15878" width="28.42578125" style="200" customWidth="1"/>
    <col min="15879" max="15879" width="18.7109375" style="200" customWidth="1"/>
    <col min="15880" max="15880" width="1.28515625" style="200" customWidth="1"/>
    <col min="15881" max="15881" width="13.7109375" style="200" customWidth="1"/>
    <col min="15882" max="16128" width="11.42578125" style="200"/>
    <col min="16129" max="16129" width="1" style="200" customWidth="1"/>
    <col min="16130" max="16130" width="3.7109375" style="200" customWidth="1"/>
    <col min="16131" max="16131" width="39.7109375" style="200" customWidth="1"/>
    <col min="16132" max="16132" width="15.7109375" style="200" customWidth="1"/>
    <col min="16133" max="16133" width="12.5703125" style="200" customWidth="1"/>
    <col min="16134" max="16134" width="28.42578125" style="200" customWidth="1"/>
    <col min="16135" max="16135" width="18.7109375" style="200" customWidth="1"/>
    <col min="16136" max="16136" width="1.28515625" style="200" customWidth="1"/>
    <col min="16137" max="16137" width="13.7109375" style="200" customWidth="1"/>
    <col min="16138" max="16384" width="11.42578125" style="200"/>
  </cols>
  <sheetData>
    <row r="1" spans="2:9" ht="12.75">
      <c r="B1" s="197"/>
      <c r="C1" s="10"/>
      <c r="D1" s="198"/>
      <c r="E1" s="198"/>
      <c r="F1" s="199"/>
      <c r="G1" s="10"/>
    </row>
    <row r="2" spans="2:9" ht="12.75" customHeight="1">
      <c r="B2" s="1667" t="s">
        <v>301</v>
      </c>
      <c r="C2" s="1667"/>
      <c r="D2" s="1667"/>
      <c r="E2" s="1667"/>
      <c r="F2" s="1667"/>
      <c r="G2" s="1667"/>
    </row>
    <row r="3" spans="2:9" ht="12.75" customHeight="1">
      <c r="B3" s="1667"/>
      <c r="C3" s="1667"/>
      <c r="D3" s="1667"/>
      <c r="E3" s="1667"/>
      <c r="F3" s="1667"/>
      <c r="G3" s="1667"/>
    </row>
    <row r="4" spans="2:9" ht="12.75" customHeight="1">
      <c r="B4" s="1667"/>
      <c r="C4" s="1667"/>
      <c r="D4" s="1667"/>
      <c r="E4" s="1667"/>
      <c r="F4" s="1667"/>
      <c r="G4" s="1667"/>
    </row>
    <row r="5" spans="2:9" ht="15">
      <c r="C5" s="201" t="s">
        <v>302</v>
      </c>
      <c r="D5" s="202">
        <v>3</v>
      </c>
      <c r="E5" s="203"/>
      <c r="F5" s="204" t="s">
        <v>127</v>
      </c>
      <c r="G5" s="205">
        <f>+'PRESU (14A18),(11A14+)'!G56</f>
        <v>0</v>
      </c>
      <c r="I5" s="206"/>
    </row>
    <row r="6" spans="2:9" ht="12.75">
      <c r="C6" s="207"/>
      <c r="D6" s="208"/>
      <c r="E6" s="209"/>
      <c r="F6" s="204" t="s">
        <v>303</v>
      </c>
      <c r="G6" s="210">
        <f>+'PRESU (14A18),(11A14+)'!G53</f>
        <v>0</v>
      </c>
    </row>
    <row r="8" spans="2:9">
      <c r="B8" s="211" t="s">
        <v>304</v>
      </c>
      <c r="C8" s="212" t="s">
        <v>305</v>
      </c>
      <c r="D8" s="213"/>
      <c r="E8" s="214"/>
      <c r="F8" s="215"/>
      <c r="G8" s="216"/>
    </row>
    <row r="9" spans="2:9">
      <c r="B9" s="208"/>
      <c r="C9" s="209"/>
    </row>
    <row r="10" spans="2:9" ht="22.5">
      <c r="B10" s="211"/>
      <c r="C10" s="219" t="s">
        <v>306</v>
      </c>
      <c r="D10" s="220" t="s">
        <v>307</v>
      </c>
      <c r="E10" s="221" t="s">
        <v>308</v>
      </c>
      <c r="F10" s="222" t="s">
        <v>309</v>
      </c>
      <c r="G10" s="220" t="s">
        <v>310</v>
      </c>
    </row>
    <row r="12" spans="2:9">
      <c r="B12" s="927">
        <v>1.1000000000000001</v>
      </c>
      <c r="C12" s="923" t="s">
        <v>311</v>
      </c>
      <c r="D12" s="924"/>
      <c r="E12" s="231"/>
      <c r="F12" s="925">
        <v>3</v>
      </c>
      <c r="G12" s="926">
        <f t="shared" ref="G12:G21" si="0">F12*E12*D12</f>
        <v>0</v>
      </c>
    </row>
    <row r="13" spans="2:9">
      <c r="B13" s="927">
        <f>+B12+0.1</f>
        <v>1.2000000000000002</v>
      </c>
      <c r="C13" s="334" t="s">
        <v>312</v>
      </c>
      <c r="D13" s="230"/>
      <c r="E13" s="231"/>
      <c r="F13" s="232">
        <v>3</v>
      </c>
      <c r="G13" s="233">
        <f t="shared" si="0"/>
        <v>0</v>
      </c>
    </row>
    <row r="14" spans="2:9">
      <c r="B14" s="927">
        <v>1.3</v>
      </c>
      <c r="C14" s="958" t="s">
        <v>461</v>
      </c>
      <c r="D14" s="230"/>
      <c r="E14" s="231"/>
      <c r="F14" s="337">
        <v>3</v>
      </c>
      <c r="G14" s="233">
        <f t="shared" si="0"/>
        <v>0</v>
      </c>
    </row>
    <row r="15" spans="2:9">
      <c r="B15" s="927">
        <v>1.4</v>
      </c>
      <c r="C15" s="917" t="s">
        <v>313</v>
      </c>
      <c r="D15" s="918"/>
      <c r="E15" s="921"/>
      <c r="F15" s="922"/>
      <c r="G15" s="918">
        <f t="shared" si="0"/>
        <v>0</v>
      </c>
    </row>
    <row r="16" spans="2:9">
      <c r="B16" s="229">
        <v>1.5</v>
      </c>
      <c r="C16" s="917" t="s">
        <v>314</v>
      </c>
      <c r="D16" s="918"/>
      <c r="E16" s="231"/>
      <c r="F16" s="337"/>
      <c r="G16" s="230">
        <f t="shared" si="0"/>
        <v>0</v>
      </c>
    </row>
    <row r="17" spans="2:7">
      <c r="B17" s="229">
        <v>1.6</v>
      </c>
      <c r="C17" s="917" t="s">
        <v>315</v>
      </c>
      <c r="D17" s="918"/>
      <c r="E17" s="231"/>
      <c r="F17" s="337"/>
      <c r="G17" s="230">
        <f t="shared" si="0"/>
        <v>0</v>
      </c>
    </row>
    <row r="18" spans="2:7">
      <c r="B18" s="229">
        <v>1.7</v>
      </c>
      <c r="C18" s="917" t="s">
        <v>316</v>
      </c>
      <c r="D18" s="918"/>
      <c r="E18" s="231"/>
      <c r="F18" s="337"/>
      <c r="G18" s="230">
        <f t="shared" si="0"/>
        <v>0</v>
      </c>
    </row>
    <row r="19" spans="2:7">
      <c r="B19" s="229">
        <v>1.8</v>
      </c>
      <c r="C19" s="917" t="s">
        <v>33</v>
      </c>
      <c r="D19" s="918"/>
      <c r="E19" s="231"/>
      <c r="F19" s="337">
        <v>3</v>
      </c>
      <c r="G19" s="230">
        <f t="shared" si="0"/>
        <v>0</v>
      </c>
    </row>
    <row r="20" spans="2:7">
      <c r="B20" s="229">
        <v>1.9</v>
      </c>
      <c r="C20" s="919" t="s">
        <v>440</v>
      </c>
      <c r="D20" s="920"/>
      <c r="E20" s="240"/>
      <c r="F20" s="241"/>
      <c r="G20" s="239">
        <f>F20*E20*D20</f>
        <v>0</v>
      </c>
    </row>
    <row r="21" spans="2:7">
      <c r="B21" s="223">
        <v>1.9</v>
      </c>
      <c r="C21" s="242" t="s">
        <v>623</v>
      </c>
      <c r="D21" s="243"/>
      <c r="E21" s="244"/>
      <c r="F21" s="245">
        <v>3</v>
      </c>
      <c r="G21" s="243">
        <f t="shared" si="0"/>
        <v>0</v>
      </c>
    </row>
    <row r="23" spans="2:7">
      <c r="C23" s="246" t="s">
        <v>320</v>
      </c>
      <c r="D23" s="213"/>
      <c r="E23" s="214"/>
      <c r="F23" s="247"/>
      <c r="G23" s="248">
        <f>SUM(G12:G21)</f>
        <v>0</v>
      </c>
    </row>
    <row r="24" spans="2:7">
      <c r="C24" s="246" t="s">
        <v>321</v>
      </c>
      <c r="D24" s="213"/>
      <c r="E24" s="214"/>
      <c r="F24" s="249">
        <v>0.66290000000000004</v>
      </c>
      <c r="G24" s="248">
        <f>F24*G23</f>
        <v>0</v>
      </c>
    </row>
    <row r="25" spans="2:7">
      <c r="C25" s="246" t="s">
        <v>322</v>
      </c>
      <c r="D25" s="213"/>
      <c r="E25" s="214"/>
      <c r="F25" s="247"/>
      <c r="G25" s="248">
        <f>G24+G23</f>
        <v>0</v>
      </c>
    </row>
    <row r="27" spans="2:7">
      <c r="B27" s="211" t="s">
        <v>323</v>
      </c>
      <c r="C27" s="212" t="s">
        <v>324</v>
      </c>
      <c r="D27" s="213"/>
      <c r="E27" s="214"/>
      <c r="F27" s="215"/>
      <c r="G27" s="216"/>
    </row>
    <row r="29" spans="2:7">
      <c r="B29" s="250">
        <v>2.1</v>
      </c>
      <c r="C29" s="251" t="s">
        <v>325</v>
      </c>
      <c r="D29" s="225"/>
      <c r="E29" s="252">
        <v>0</v>
      </c>
      <c r="F29" s="253">
        <v>0</v>
      </c>
      <c r="G29" s="225">
        <f>F29*E29*D29</f>
        <v>0</v>
      </c>
    </row>
    <row r="30" spans="2:7">
      <c r="B30" s="229">
        <v>2.2000000000000002</v>
      </c>
      <c r="C30" s="959" t="s">
        <v>326</v>
      </c>
      <c r="D30" s="960"/>
      <c r="E30" s="961">
        <v>1</v>
      </c>
      <c r="F30" s="962">
        <v>3</v>
      </c>
      <c r="G30" s="960">
        <f>F30*E30*D30</f>
        <v>0</v>
      </c>
    </row>
    <row r="31" spans="2:7">
      <c r="B31" s="257">
        <v>2.2999999999999998</v>
      </c>
      <c r="C31" s="258" t="s">
        <v>327</v>
      </c>
      <c r="D31" s="235"/>
      <c r="E31" s="259">
        <v>0</v>
      </c>
      <c r="F31" s="237">
        <v>0</v>
      </c>
      <c r="G31" s="235">
        <f>F31*E31*D31</f>
        <v>0</v>
      </c>
    </row>
    <row r="32" spans="2:7">
      <c r="B32" s="254">
        <v>2.4</v>
      </c>
      <c r="C32" s="255" t="s">
        <v>328</v>
      </c>
      <c r="D32" s="230"/>
      <c r="E32" s="256">
        <v>1</v>
      </c>
      <c r="F32" s="218">
        <v>3</v>
      </c>
      <c r="G32" s="230">
        <f>F32*E32*D32</f>
        <v>0</v>
      </c>
    </row>
    <row r="33" spans="2:10">
      <c r="B33" s="260">
        <v>2.5</v>
      </c>
      <c r="C33" s="261" t="s">
        <v>329</v>
      </c>
      <c r="D33" s="262"/>
      <c r="E33" s="263">
        <v>0</v>
      </c>
      <c r="F33" s="264">
        <v>0</v>
      </c>
      <c r="G33" s="262">
        <f>F33*E33*D33</f>
        <v>0</v>
      </c>
    </row>
    <row r="35" spans="2:10">
      <c r="C35" s="246" t="s">
        <v>320</v>
      </c>
      <c r="D35" s="213"/>
      <c r="E35" s="214"/>
      <c r="F35" s="247"/>
      <c r="G35" s="248">
        <f>SUM(G29:G33)</f>
        <v>0</v>
      </c>
    </row>
    <row r="36" spans="2:10">
      <c r="C36" s="246" t="s">
        <v>321</v>
      </c>
      <c r="D36" s="213"/>
      <c r="E36" s="214"/>
      <c r="F36" s="249">
        <v>0.66290000000000004</v>
      </c>
      <c r="G36" s="248">
        <f>F36*G35</f>
        <v>0</v>
      </c>
    </row>
    <row r="37" spans="2:10">
      <c r="C37" s="246" t="s">
        <v>322</v>
      </c>
      <c r="D37" s="213"/>
      <c r="E37" s="214"/>
      <c r="F37" s="247"/>
      <c r="G37" s="248">
        <f>G36+G35</f>
        <v>0</v>
      </c>
      <c r="J37" s="217">
        <f>+SUM(G25+G37+G43+G57)</f>
        <v>0</v>
      </c>
    </row>
    <row r="39" spans="2:10">
      <c r="B39" s="211" t="s">
        <v>330</v>
      </c>
      <c r="C39" s="212" t="s">
        <v>331</v>
      </c>
      <c r="D39" s="213"/>
      <c r="E39" s="214"/>
      <c r="F39" s="215"/>
      <c r="G39" s="216"/>
    </row>
    <row r="41" spans="2:10">
      <c r="B41" s="927">
        <v>3.1</v>
      </c>
      <c r="C41" s="945" t="s">
        <v>332</v>
      </c>
      <c r="D41" s="932">
        <f>+G5</f>
        <v>0</v>
      </c>
      <c r="E41" s="933">
        <v>0.01</v>
      </c>
      <c r="F41" s="931"/>
      <c r="G41" s="932">
        <f>+D41*E41</f>
        <v>0</v>
      </c>
    </row>
    <row r="43" spans="2:10">
      <c r="C43" s="246" t="s">
        <v>333</v>
      </c>
      <c r="D43" s="213"/>
      <c r="E43" s="214"/>
      <c r="F43" s="247"/>
      <c r="G43" s="248">
        <f>SUM(G41:G41)</f>
        <v>0</v>
      </c>
      <c r="I43" s="268"/>
    </row>
    <row r="45" spans="2:10">
      <c r="B45" s="211" t="s">
        <v>334</v>
      </c>
      <c r="C45" s="212" t="s">
        <v>335</v>
      </c>
      <c r="D45" s="213"/>
      <c r="E45" s="214"/>
      <c r="F45" s="215"/>
      <c r="G45" s="216"/>
    </row>
    <row r="47" spans="2:10">
      <c r="B47" s="269">
        <v>4.0999999999999996</v>
      </c>
      <c r="C47" s="270" t="s">
        <v>336</v>
      </c>
      <c r="D47" s="271">
        <f>+$G$5</f>
        <v>0</v>
      </c>
      <c r="E47" s="272"/>
      <c r="F47" s="273"/>
      <c r="G47" s="274">
        <f t="shared" ref="G47:G55" si="1">+E47*D47</f>
        <v>0</v>
      </c>
    </row>
    <row r="48" spans="2:10">
      <c r="B48" s="935">
        <v>4.0999999999999996</v>
      </c>
      <c r="C48" s="934" t="s">
        <v>441</v>
      </c>
      <c r="D48" s="928">
        <f>+$G$5</f>
        <v>0</v>
      </c>
      <c r="E48" s="941">
        <v>0.02</v>
      </c>
      <c r="F48" s="942"/>
      <c r="G48" s="924">
        <f t="shared" si="1"/>
        <v>0</v>
      </c>
    </row>
    <row r="49" spans="2:11">
      <c r="B49" s="935">
        <f t="shared" ref="B49:B51" si="2">+B48+0.1</f>
        <v>4.1999999999999993</v>
      </c>
      <c r="C49" s="938" t="s">
        <v>441</v>
      </c>
      <c r="D49" s="929">
        <f t="shared" ref="D49:D52" si="3">+$G$5</f>
        <v>0</v>
      </c>
      <c r="E49" s="943"/>
      <c r="F49" s="940"/>
      <c r="G49" s="918">
        <f t="shared" si="1"/>
        <v>0</v>
      </c>
    </row>
    <row r="50" spans="2:11">
      <c r="B50" s="935">
        <f t="shared" si="2"/>
        <v>4.2999999999999989</v>
      </c>
      <c r="C50" s="938" t="s">
        <v>441</v>
      </c>
      <c r="D50" s="929">
        <f t="shared" si="3"/>
        <v>0</v>
      </c>
      <c r="E50" s="943"/>
      <c r="F50" s="940"/>
      <c r="G50" s="918">
        <f t="shared" si="1"/>
        <v>0</v>
      </c>
    </row>
    <row r="51" spans="2:11">
      <c r="B51" s="935">
        <f t="shared" si="2"/>
        <v>4.3999999999999986</v>
      </c>
      <c r="C51" s="938" t="s">
        <v>441</v>
      </c>
      <c r="D51" s="929">
        <f t="shared" si="3"/>
        <v>0</v>
      </c>
      <c r="E51" s="943"/>
      <c r="F51" s="940"/>
      <c r="G51" s="918">
        <f t="shared" si="1"/>
        <v>0</v>
      </c>
    </row>
    <row r="52" spans="2:11">
      <c r="B52" s="935">
        <v>4.2</v>
      </c>
      <c r="C52" s="938" t="s">
        <v>442</v>
      </c>
      <c r="D52" s="929">
        <f t="shared" si="3"/>
        <v>0</v>
      </c>
      <c r="E52" s="943">
        <v>0.02</v>
      </c>
      <c r="F52" s="940"/>
      <c r="G52" s="918">
        <f t="shared" si="1"/>
        <v>0</v>
      </c>
    </row>
    <row r="53" spans="2:11">
      <c r="B53" s="936">
        <v>4.3</v>
      </c>
      <c r="C53" s="938" t="s">
        <v>341</v>
      </c>
      <c r="D53" s="929">
        <f>+$G$5</f>
        <v>0</v>
      </c>
      <c r="E53" s="943">
        <v>0.05</v>
      </c>
      <c r="F53" s="940"/>
      <c r="G53" s="918">
        <f t="shared" si="1"/>
        <v>0</v>
      </c>
    </row>
    <row r="54" spans="2:11">
      <c r="B54" s="936">
        <v>4.4000000000000004</v>
      </c>
      <c r="C54" s="938"/>
      <c r="D54" s="929"/>
      <c r="E54" s="943"/>
      <c r="F54" s="940"/>
      <c r="G54" s="918">
        <f t="shared" si="1"/>
        <v>0</v>
      </c>
      <c r="K54" s="206"/>
    </row>
    <row r="55" spans="2:11">
      <c r="B55" s="937">
        <v>4.5</v>
      </c>
      <c r="C55" s="939"/>
      <c r="D55" s="930"/>
      <c r="E55" s="943"/>
      <c r="F55" s="940"/>
      <c r="G55" s="918">
        <f t="shared" si="1"/>
        <v>0</v>
      </c>
    </row>
    <row r="56" spans="2:11">
      <c r="B56" s="286"/>
      <c r="C56" s="238"/>
      <c r="D56" s="287"/>
      <c r="E56" s="944"/>
      <c r="F56" s="289"/>
      <c r="G56" s="239"/>
    </row>
    <row r="57" spans="2:11">
      <c r="C57" s="246" t="s">
        <v>344</v>
      </c>
      <c r="D57" s="213"/>
      <c r="E57" s="214"/>
      <c r="F57" s="247"/>
      <c r="G57" s="248">
        <f>SUM(G47:G55)</f>
        <v>0</v>
      </c>
      <c r="I57" s="268"/>
    </row>
    <row r="59" spans="2:11">
      <c r="B59" s="211" t="s">
        <v>345</v>
      </c>
      <c r="C59" s="212" t="s">
        <v>346</v>
      </c>
      <c r="D59" s="213"/>
      <c r="E59" s="214"/>
      <c r="F59" s="215"/>
      <c r="G59" s="216"/>
    </row>
    <row r="60" spans="2:11" ht="15.6" hidden="1" customHeight="1"/>
    <row r="61" spans="2:11" hidden="1">
      <c r="B61" s="250">
        <v>5.0999999999999996</v>
      </c>
      <c r="C61" s="224" t="s">
        <v>347</v>
      </c>
      <c r="D61" s="290">
        <v>50000</v>
      </c>
      <c r="E61" s="291"/>
      <c r="F61" s="227">
        <f t="shared" ref="F61:F64" si="4">+$D$5</f>
        <v>3</v>
      </c>
      <c r="G61" s="225">
        <f t="shared" ref="G61:G66" si="5">F61*E61*D61</f>
        <v>0</v>
      </c>
    </row>
    <row r="62" spans="2:11" hidden="1">
      <c r="B62" s="257">
        <v>5.2</v>
      </c>
      <c r="C62" s="234" t="s">
        <v>348</v>
      </c>
      <c r="D62" s="292">
        <v>80000</v>
      </c>
      <c r="E62" s="236"/>
      <c r="F62" s="281">
        <f t="shared" si="4"/>
        <v>3</v>
      </c>
      <c r="G62" s="235">
        <f t="shared" si="5"/>
        <v>0</v>
      </c>
    </row>
    <row r="63" spans="2:11" hidden="1">
      <c r="B63" s="257">
        <v>5.3</v>
      </c>
      <c r="C63" s="234" t="s">
        <v>349</v>
      </c>
      <c r="D63" s="292">
        <v>80000</v>
      </c>
      <c r="E63" s="236"/>
      <c r="F63" s="281">
        <f t="shared" si="4"/>
        <v>3</v>
      </c>
      <c r="G63" s="235">
        <f t="shared" si="5"/>
        <v>0</v>
      </c>
    </row>
    <row r="64" spans="2:11" hidden="1">
      <c r="B64" s="257">
        <v>5.4</v>
      </c>
      <c r="C64" s="234" t="s">
        <v>350</v>
      </c>
      <c r="D64" s="292">
        <v>30000</v>
      </c>
      <c r="E64" s="236"/>
      <c r="F64" s="281">
        <f t="shared" si="4"/>
        <v>3</v>
      </c>
      <c r="G64" s="235">
        <f t="shared" si="5"/>
        <v>0</v>
      </c>
    </row>
    <row r="65" spans="2:11" hidden="1">
      <c r="B65" s="250">
        <v>5.5</v>
      </c>
      <c r="C65" s="224" t="s">
        <v>351</v>
      </c>
      <c r="D65" s="290">
        <v>306782</v>
      </c>
      <c r="E65" s="291">
        <v>1</v>
      </c>
      <c r="F65" s="227">
        <v>4</v>
      </c>
      <c r="G65" s="225"/>
    </row>
    <row r="66" spans="2:11" hidden="1">
      <c r="B66" s="223">
        <v>5.6</v>
      </c>
      <c r="C66" s="315" t="s">
        <v>352</v>
      </c>
      <c r="D66" s="243">
        <v>1700000</v>
      </c>
      <c r="E66" s="244">
        <v>2</v>
      </c>
      <c r="F66" s="267"/>
      <c r="G66" s="243">
        <f t="shared" si="5"/>
        <v>0</v>
      </c>
    </row>
    <row r="68" spans="2:11">
      <c r="C68" s="293" t="s">
        <v>353</v>
      </c>
      <c r="D68" s="294"/>
      <c r="E68" s="270"/>
      <c r="F68" s="295"/>
      <c r="G68" s="248">
        <f>SUM(G61:G67)</f>
        <v>0</v>
      </c>
    </row>
    <row r="69" spans="2:11">
      <c r="C69" s="255" t="s">
        <v>354</v>
      </c>
      <c r="F69" s="296"/>
      <c r="G69" s="248">
        <f>F69*G68</f>
        <v>0</v>
      </c>
    </row>
    <row r="70" spans="2:11">
      <c r="C70" s="297" t="s">
        <v>355</v>
      </c>
      <c r="D70" s="287"/>
      <c r="E70" s="238"/>
      <c r="F70" s="298"/>
      <c r="G70" s="248">
        <f>G69+G68</f>
        <v>0</v>
      </c>
    </row>
    <row r="71" spans="2:11">
      <c r="F71" s="299"/>
    </row>
    <row r="72" spans="2:11">
      <c r="B72" s="211">
        <v>6</v>
      </c>
      <c r="C72" s="212" t="s">
        <v>356</v>
      </c>
      <c r="D72" s="213"/>
      <c r="E72" s="214"/>
      <c r="F72" s="215"/>
      <c r="G72" s="216"/>
      <c r="K72" s="206"/>
    </row>
    <row r="74" spans="2:11" hidden="1">
      <c r="B74" s="223">
        <v>6.1</v>
      </c>
      <c r="C74" s="265" t="s">
        <v>357</v>
      </c>
      <c r="D74" s="300">
        <v>2000000</v>
      </c>
      <c r="E74" s="244">
        <v>1</v>
      </c>
      <c r="F74" s="267"/>
      <c r="G74" s="243">
        <f>F74*E74*D74</f>
        <v>0</v>
      </c>
    </row>
    <row r="75" spans="2:11" hidden="1">
      <c r="B75" s="301">
        <v>6.2</v>
      </c>
      <c r="C75" s="238" t="s">
        <v>358</v>
      </c>
      <c r="D75" s="302">
        <v>150000</v>
      </c>
      <c r="E75" s="240">
        <v>0</v>
      </c>
      <c r="F75" s="303">
        <f>+$D$5</f>
        <v>3</v>
      </c>
      <c r="G75" s="239">
        <f>F75*E75*D75</f>
        <v>0</v>
      </c>
    </row>
    <row r="76" spans="2:11" hidden="1"/>
    <row r="77" spans="2:11">
      <c r="C77" s="246" t="s">
        <v>359</v>
      </c>
      <c r="D77" s="213"/>
      <c r="E77" s="214"/>
      <c r="F77" s="215"/>
      <c r="G77" s="304">
        <f>SUM(G74:G76)</f>
        <v>0</v>
      </c>
    </row>
    <row r="78" spans="2:11">
      <c r="F78" s="299"/>
    </row>
    <row r="79" spans="2:11">
      <c r="B79" s="305">
        <v>1</v>
      </c>
      <c r="C79" s="212" t="s">
        <v>360</v>
      </c>
      <c r="D79" s="213"/>
      <c r="E79" s="214"/>
      <c r="F79" s="963"/>
      <c r="G79" s="307">
        <f>+G25+G37+G43+G57+G70+G77</f>
        <v>0</v>
      </c>
      <c r="I79" s="308">
        <f>+G25+G37+G43+G57</f>
        <v>0</v>
      </c>
      <c r="J79" s="200" t="e">
        <f>+G79/'PRESU (14A18),(11A14+)'!G53</f>
        <v>#DIV/0!</v>
      </c>
    </row>
    <row r="80" spans="2:11">
      <c r="B80" s="309"/>
      <c r="F80" s="310"/>
      <c r="G80" s="311"/>
      <c r="K80" s="206"/>
    </row>
    <row r="81" spans="2:11">
      <c r="B81" s="309">
        <v>2</v>
      </c>
      <c r="C81" s="212" t="s">
        <v>361</v>
      </c>
      <c r="D81" s="213"/>
      <c r="E81" s="214"/>
      <c r="F81" s="963"/>
      <c r="G81" s="307">
        <f>+ROUND(G6*F81,0)</f>
        <v>0</v>
      </c>
      <c r="I81" s="217">
        <f>+G25+G37+G43+G57</f>
        <v>0</v>
      </c>
      <c r="K81" s="206"/>
    </row>
    <row r="82" spans="2:11">
      <c r="F82" s="312"/>
    </row>
    <row r="83" spans="2:11" ht="12.75">
      <c r="B83" s="246"/>
      <c r="C83" s="212" t="s">
        <v>362</v>
      </c>
      <c r="D83" s="213"/>
      <c r="E83" s="214"/>
      <c r="F83" s="313">
        <f>+SUM(F79:F81)</f>
        <v>0</v>
      </c>
      <c r="G83" s="307">
        <f>+SUM(G79:G81)</f>
        <v>0</v>
      </c>
    </row>
    <row r="86" spans="2:11" ht="12.75">
      <c r="C86" s="314"/>
      <c r="D86" s="287"/>
    </row>
    <row r="87" spans="2:11" ht="12.75">
      <c r="C87" s="1668" t="s">
        <v>646</v>
      </c>
      <c r="D87" s="1668"/>
    </row>
  </sheetData>
  <mergeCells count="2">
    <mergeCell ref="B2:G4"/>
    <mergeCell ref="C87:D87"/>
  </mergeCells>
  <pageMargins left="0.7" right="0.7" top="0.75" bottom="0.75" header="0.3" footer="0.3"/>
  <pageSetup paperSize="9" scale="73" orientation="portrait" horizontalDpi="360" verticalDpi="360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7">
    <tabColor rgb="FFFF0000"/>
  </sheetPr>
  <dimension ref="A2:AN1261"/>
  <sheetViews>
    <sheetView showGridLines="0" topLeftCell="A569" zoomScale="70" zoomScaleNormal="70" workbookViewId="0">
      <selection activeCell="E746" sqref="E746"/>
    </sheetView>
  </sheetViews>
  <sheetFormatPr baseColWidth="10" defaultColWidth="11.42578125" defaultRowHeight="15"/>
  <cols>
    <col min="1" max="1" width="11.5703125" style="80" bestFit="1" customWidth="1"/>
    <col min="2" max="2" width="70" style="82" customWidth="1"/>
    <col min="3" max="3" width="11.140625" style="80" customWidth="1"/>
    <col min="4" max="4" width="11.85546875" style="80" customWidth="1"/>
    <col min="5" max="5" width="22.5703125" style="80" customWidth="1"/>
    <col min="6" max="6" width="23.5703125" style="80" customWidth="1"/>
    <col min="7" max="7" width="20.42578125" style="73" customWidth="1"/>
    <col min="8" max="8" width="30.28515625" style="73" customWidth="1"/>
    <col min="9" max="9" width="18.5703125" style="73" customWidth="1"/>
    <col min="10" max="10" width="63.7109375" style="73" customWidth="1"/>
    <col min="11" max="11" width="23.7109375" style="81" customWidth="1"/>
    <col min="12" max="12" width="17.140625" style="81" customWidth="1"/>
    <col min="13" max="13" width="22.28515625" style="80" customWidth="1"/>
    <col min="14" max="14" width="24.140625" style="81" customWidth="1"/>
    <col min="15" max="15" width="39" style="80" customWidth="1"/>
    <col min="16" max="16" width="14.42578125" style="80" customWidth="1"/>
    <col min="17" max="17" width="11.42578125" style="80"/>
    <col min="18" max="18" width="69.140625" style="80" customWidth="1"/>
    <col min="19" max="19" width="21.5703125" style="80" customWidth="1"/>
    <col min="20" max="20" width="21.7109375" style="80" customWidth="1"/>
    <col min="21" max="21" width="43.7109375" style="80" customWidth="1"/>
    <col min="22" max="22" width="31.28515625" style="80" customWidth="1"/>
    <col min="23" max="23" width="22.5703125" style="80" customWidth="1"/>
    <col min="24" max="24" width="30.7109375" style="80" customWidth="1"/>
    <col min="25" max="25" width="21.42578125" style="80" customWidth="1"/>
    <col min="26" max="26" width="20" style="80" customWidth="1"/>
    <col min="27" max="27" width="18" style="80" customWidth="1"/>
    <col min="28" max="28" width="15.28515625" style="80" customWidth="1"/>
    <col min="29" max="29" width="14.28515625" style="80" customWidth="1"/>
    <col min="30" max="30" width="13.28515625" style="80" customWidth="1"/>
    <col min="31" max="31" width="21.140625" style="80" customWidth="1"/>
    <col min="32" max="32" width="23.28515625" style="80" customWidth="1"/>
    <col min="33" max="33" width="24" style="80" customWidth="1"/>
    <col min="34" max="34" width="24.28515625" style="80" customWidth="1"/>
    <col min="35" max="35" width="15" style="80" customWidth="1"/>
    <col min="36" max="16384" width="11.42578125" style="80"/>
  </cols>
  <sheetData>
    <row r="2" spans="1:7" ht="16.5" hidden="1" thickBot="1">
      <c r="A2" s="1875" t="s">
        <v>129</v>
      </c>
      <c r="B2" s="1876"/>
      <c r="C2" s="1876"/>
      <c r="D2" s="1876"/>
      <c r="E2" s="1876"/>
      <c r="F2" s="1877"/>
    </row>
    <row r="3" spans="1:7" ht="15.75" hidden="1" thickBot="1"/>
    <row r="4" spans="1:7" ht="16.5" hidden="1" thickBot="1">
      <c r="A4" s="1846" t="s">
        <v>369</v>
      </c>
      <c r="B4" s="1847"/>
      <c r="C4" s="1847"/>
      <c r="D4" s="1847"/>
      <c r="E4" s="1847"/>
      <c r="F4" s="1848"/>
      <c r="G4" s="57"/>
    </row>
    <row r="5" spans="1:7" ht="15.75" hidden="1" thickBot="1">
      <c r="A5" s="57"/>
      <c r="B5" s="49"/>
      <c r="C5" s="57"/>
      <c r="D5" s="57"/>
      <c r="E5" s="57"/>
      <c r="F5" s="58"/>
      <c r="G5" s="57"/>
    </row>
    <row r="6" spans="1:7" ht="15.75" hidden="1">
      <c r="A6" s="75" t="s">
        <v>6</v>
      </c>
      <c r="B6" s="76" t="s">
        <v>7</v>
      </c>
      <c r="C6" s="77" t="s">
        <v>0</v>
      </c>
      <c r="D6" s="77" t="s">
        <v>8</v>
      </c>
      <c r="E6" s="77" t="s">
        <v>2</v>
      </c>
      <c r="F6" s="78" t="s">
        <v>9</v>
      </c>
      <c r="G6" s="57"/>
    </row>
    <row r="7" spans="1:7" hidden="1">
      <c r="A7" s="59">
        <v>1</v>
      </c>
      <c r="B7" s="66" t="s">
        <v>79</v>
      </c>
      <c r="C7" s="87" t="s">
        <v>80</v>
      </c>
      <c r="D7" s="96">
        <v>1.5</v>
      </c>
      <c r="E7" s="92" t="e">
        <f>+VLOOKUP(B7,#REF!,6,)</f>
        <v>#REF!</v>
      </c>
      <c r="F7" s="64" t="e">
        <f t="shared" ref="F7:F23" si="0">+D7*E7</f>
        <v>#REF!</v>
      </c>
      <c r="G7" s="338"/>
    </row>
    <row r="8" spans="1:7" ht="30" hidden="1">
      <c r="A8" s="59">
        <v>2</v>
      </c>
      <c r="B8" s="60" t="s">
        <v>130</v>
      </c>
      <c r="C8" s="87" t="s">
        <v>80</v>
      </c>
      <c r="D8" s="96">
        <v>1</v>
      </c>
      <c r="E8" s="92" t="e">
        <f>+VLOOKUP(B8,#REF!,6,)</f>
        <v>#REF!</v>
      </c>
      <c r="F8" s="65" t="e">
        <f t="shared" si="0"/>
        <v>#REF!</v>
      </c>
      <c r="G8" s="338"/>
    </row>
    <row r="9" spans="1:7" hidden="1">
      <c r="A9" s="59">
        <v>3</v>
      </c>
      <c r="B9" s="66" t="s">
        <v>81</v>
      </c>
      <c r="C9" s="87" t="s">
        <v>86</v>
      </c>
      <c r="D9" s="67">
        <f>2/20</f>
        <v>0.1</v>
      </c>
      <c r="E9" s="92" t="e">
        <f>+VLOOKUP(B9,#REF!,6,)</f>
        <v>#REF!</v>
      </c>
      <c r="F9" s="64" t="e">
        <f t="shared" si="0"/>
        <v>#REF!</v>
      </c>
      <c r="G9" s="338" t="s">
        <v>370</v>
      </c>
    </row>
    <row r="10" spans="1:7" hidden="1">
      <c r="A10" s="59">
        <v>4</v>
      </c>
      <c r="B10" s="66" t="s">
        <v>169</v>
      </c>
      <c r="C10" s="87" t="s">
        <v>80</v>
      </c>
      <c r="D10" s="67">
        <v>2</v>
      </c>
      <c r="E10" s="92" t="e">
        <f>+VLOOKUP(B10,#REF!,6,)</f>
        <v>#REF!</v>
      </c>
      <c r="F10" s="64" t="e">
        <f t="shared" si="0"/>
        <v>#REF!</v>
      </c>
      <c r="G10" s="338"/>
    </row>
    <row r="11" spans="1:7" hidden="1">
      <c r="A11" s="59">
        <v>5</v>
      </c>
      <c r="B11" s="66" t="s">
        <v>371</v>
      </c>
      <c r="C11" s="153" t="s">
        <v>3</v>
      </c>
      <c r="D11" s="67">
        <f>1*0.65</f>
        <v>0.65</v>
      </c>
      <c r="E11" s="92" t="e">
        <f>+VLOOKUP(B11,#REF!,6,)</f>
        <v>#REF!</v>
      </c>
      <c r="F11" s="64" t="e">
        <f t="shared" si="0"/>
        <v>#REF!</v>
      </c>
      <c r="G11" s="617"/>
    </row>
    <row r="12" spans="1:7" hidden="1">
      <c r="A12" s="59">
        <v>6</v>
      </c>
      <c r="B12" s="66" t="s">
        <v>175</v>
      </c>
      <c r="C12" s="87" t="s">
        <v>4</v>
      </c>
      <c r="D12" s="339">
        <f>1*0.65*0.45</f>
        <v>0.29250000000000004</v>
      </c>
      <c r="E12" s="92" t="e">
        <f>+VLOOKUP(B12,#REF!,6,)</f>
        <v>#REF!</v>
      </c>
      <c r="F12" s="64" t="e">
        <f t="shared" si="0"/>
        <v>#REF!</v>
      </c>
      <c r="G12" s="340" t="s">
        <v>372</v>
      </c>
    </row>
    <row r="13" spans="1:7" hidden="1">
      <c r="A13" s="59">
        <v>7</v>
      </c>
      <c r="B13" s="66" t="s">
        <v>150</v>
      </c>
      <c r="C13" s="87" t="s">
        <v>4</v>
      </c>
      <c r="D13" s="339">
        <f>1*0.65*0.35</f>
        <v>0.22749999999999998</v>
      </c>
      <c r="E13" s="92" t="e">
        <f>+VLOOKUP(B13,#REF!,6,)</f>
        <v>#REF!</v>
      </c>
      <c r="F13" s="64" t="e">
        <f t="shared" si="0"/>
        <v>#REF!</v>
      </c>
      <c r="G13" s="340"/>
    </row>
    <row r="14" spans="1:7" hidden="1">
      <c r="A14" s="59">
        <v>8</v>
      </c>
      <c r="B14" s="66" t="s">
        <v>135</v>
      </c>
      <c r="C14" s="87" t="s">
        <v>4</v>
      </c>
      <c r="D14" s="339">
        <f>((D11*0.07)+(D12+D13))*1.3</f>
        <v>0.73515000000000008</v>
      </c>
      <c r="E14" s="92" t="e">
        <f>+VLOOKUP(B14,#REF!,6,)</f>
        <v>#REF!</v>
      </c>
      <c r="F14" s="64" t="e">
        <f t="shared" si="0"/>
        <v>#REF!</v>
      </c>
      <c r="G14" s="340"/>
    </row>
    <row r="15" spans="1:7" hidden="1">
      <c r="A15" s="59">
        <v>9</v>
      </c>
      <c r="B15" s="66" t="s">
        <v>83</v>
      </c>
      <c r="C15" s="87" t="s">
        <v>4</v>
      </c>
      <c r="D15" s="339">
        <f>+D14</f>
        <v>0.73515000000000008</v>
      </c>
      <c r="E15" s="92" t="e">
        <f>+VLOOKUP(B15,#REF!,6,)</f>
        <v>#REF!</v>
      </c>
      <c r="F15" s="64" t="e">
        <f t="shared" si="0"/>
        <v>#REF!</v>
      </c>
      <c r="G15" s="340"/>
    </row>
    <row r="16" spans="1:7" hidden="1">
      <c r="A16" s="59">
        <v>10</v>
      </c>
      <c r="B16" s="66" t="s">
        <v>176</v>
      </c>
      <c r="C16" s="153" t="s">
        <v>3</v>
      </c>
      <c r="D16" s="339">
        <f>1*0.65</f>
        <v>0.65</v>
      </c>
      <c r="E16" s="92" t="e">
        <f>+VLOOKUP(B16,#REF!,6,)</f>
        <v>#REF!</v>
      </c>
      <c r="F16" s="64" t="e">
        <f t="shared" si="0"/>
        <v>#REF!</v>
      </c>
      <c r="G16" s="340" t="s">
        <v>372</v>
      </c>
    </row>
    <row r="17" spans="1:7" hidden="1">
      <c r="A17" s="59">
        <v>11</v>
      </c>
      <c r="B17" s="66" t="s">
        <v>82</v>
      </c>
      <c r="C17" s="87" t="s">
        <v>80</v>
      </c>
      <c r="D17" s="67">
        <v>4</v>
      </c>
      <c r="E17" s="92" t="e">
        <f>+VLOOKUP(B17,#REF!,6,)</f>
        <v>#REF!</v>
      </c>
      <c r="F17" s="64" t="e">
        <f t="shared" si="0"/>
        <v>#REF!</v>
      </c>
      <c r="G17" s="340"/>
    </row>
    <row r="18" spans="1:7" hidden="1">
      <c r="A18" s="59">
        <v>12</v>
      </c>
      <c r="B18" s="66" t="s">
        <v>373</v>
      </c>
      <c r="C18" s="87" t="s">
        <v>80</v>
      </c>
      <c r="D18" s="67">
        <v>1</v>
      </c>
      <c r="E18" s="63">
        <v>150</v>
      </c>
      <c r="F18" s="64">
        <f t="shared" si="0"/>
        <v>150</v>
      </c>
      <c r="G18" s="340"/>
    </row>
    <row r="19" spans="1:7" hidden="1">
      <c r="A19" s="59">
        <v>13</v>
      </c>
      <c r="B19" s="66" t="s">
        <v>177</v>
      </c>
      <c r="C19" s="87" t="s">
        <v>4</v>
      </c>
      <c r="D19" s="339">
        <f>(1*0.65*0.3)-(4*PI()*0.05^2)</f>
        <v>0.16358407346410209</v>
      </c>
      <c r="E19" s="92" t="e">
        <f>+VLOOKUP(B19,#REF!,6,)</f>
        <v>#REF!</v>
      </c>
      <c r="F19" s="64" t="e">
        <f t="shared" si="0"/>
        <v>#REF!</v>
      </c>
      <c r="G19" s="340" t="s">
        <v>374</v>
      </c>
    </row>
    <row r="20" spans="1:7" hidden="1">
      <c r="A20" s="59">
        <v>14</v>
      </c>
      <c r="B20" s="66" t="s">
        <v>178</v>
      </c>
      <c r="C20" s="87" t="s">
        <v>4</v>
      </c>
      <c r="D20" s="67">
        <f>1*0.65*0.25</f>
        <v>0.16250000000000001</v>
      </c>
      <c r="E20" s="92" t="e">
        <f>+VLOOKUP(B20,#REF!,6,)</f>
        <v>#REF!</v>
      </c>
      <c r="F20" s="64" t="e">
        <f t="shared" si="0"/>
        <v>#REF!</v>
      </c>
      <c r="G20" s="340"/>
    </row>
    <row r="21" spans="1:7" hidden="1">
      <c r="A21" s="59">
        <v>15</v>
      </c>
      <c r="B21" s="66" t="s">
        <v>179</v>
      </c>
      <c r="C21" s="87" t="s">
        <v>4</v>
      </c>
      <c r="D21" s="67">
        <f>1*0.65*0.2</f>
        <v>0.13</v>
      </c>
      <c r="E21" s="92" t="e">
        <f>+VLOOKUP(B21,#REF!,6,)</f>
        <v>#REF!</v>
      </c>
      <c r="F21" s="64" t="e">
        <f t="shared" si="0"/>
        <v>#REF!</v>
      </c>
      <c r="G21" s="340"/>
    </row>
    <row r="22" spans="1:7" ht="30" hidden="1">
      <c r="A22" s="59">
        <v>16</v>
      </c>
      <c r="B22" s="66" t="s">
        <v>180</v>
      </c>
      <c r="C22" s="87" t="s">
        <v>3</v>
      </c>
      <c r="D22" s="67">
        <v>0.9</v>
      </c>
      <c r="E22" s="92" t="e">
        <f>+VLOOKUP(B22,#REF!,6,)</f>
        <v>#REF!</v>
      </c>
      <c r="F22" s="64" t="e">
        <f t="shared" si="0"/>
        <v>#REF!</v>
      </c>
      <c r="G22" s="340" t="s">
        <v>375</v>
      </c>
    </row>
    <row r="23" spans="1:7" ht="15.75" hidden="1" thickBot="1">
      <c r="A23" s="69">
        <v>17</v>
      </c>
      <c r="B23" s="70" t="s">
        <v>376</v>
      </c>
      <c r="C23" s="71" t="s">
        <v>3</v>
      </c>
      <c r="D23" s="341">
        <v>4</v>
      </c>
      <c r="E23" s="344">
        <v>120000</v>
      </c>
      <c r="F23" s="72">
        <f t="shared" si="0"/>
        <v>480000</v>
      </c>
      <c r="G23" s="340"/>
    </row>
    <row r="24" spans="1:7" ht="15.75" hidden="1" thickBot="1">
      <c r="A24" s="119"/>
      <c r="B24" s="119"/>
      <c r="C24" s="119"/>
      <c r="D24" s="119"/>
      <c r="E24" s="119"/>
      <c r="F24" s="119"/>
      <c r="G24" s="171"/>
    </row>
    <row r="25" spans="1:7" ht="16.5" hidden="1" thickBot="1">
      <c r="A25" s="1878" t="s">
        <v>5</v>
      </c>
      <c r="B25" s="1879"/>
      <c r="C25" s="1879"/>
      <c r="D25" s="1879"/>
      <c r="E25" s="1880"/>
      <c r="F25" s="95" t="e">
        <f>ROUND(SUM(F7:F23),0)</f>
        <v>#REF!</v>
      </c>
    </row>
    <row r="26" spans="1:7" ht="15.75" hidden="1" thickBot="1"/>
    <row r="27" spans="1:7" ht="16.5" hidden="1" thickBot="1">
      <c r="A27" s="1846" t="s">
        <v>377</v>
      </c>
      <c r="B27" s="1847"/>
      <c r="C27" s="1847"/>
      <c r="D27" s="1847"/>
      <c r="E27" s="1847"/>
      <c r="F27" s="1848"/>
    </row>
    <row r="28" spans="1:7" ht="15.75" hidden="1" thickBot="1">
      <c r="A28" s="57"/>
      <c r="B28" s="49"/>
      <c r="C28" s="57"/>
      <c r="D28" s="57"/>
      <c r="E28" s="57"/>
      <c r="F28" s="58"/>
    </row>
    <row r="29" spans="1:7" ht="15.75" hidden="1">
      <c r="A29" s="75" t="s">
        <v>6</v>
      </c>
      <c r="B29" s="76" t="s">
        <v>7</v>
      </c>
      <c r="C29" s="77" t="s">
        <v>0</v>
      </c>
      <c r="D29" s="77" t="s">
        <v>8</v>
      </c>
      <c r="E29" s="77" t="s">
        <v>2</v>
      </c>
      <c r="F29" s="78" t="s">
        <v>9</v>
      </c>
    </row>
    <row r="30" spans="1:7" hidden="1">
      <c r="A30" s="59">
        <v>1</v>
      </c>
      <c r="B30" s="66" t="s">
        <v>79</v>
      </c>
      <c r="C30" s="87" t="s">
        <v>80</v>
      </c>
      <c r="D30" s="96">
        <v>1.5</v>
      </c>
      <c r="E30" s="92" t="e">
        <f>+VLOOKUP(B30,#REF!,6,)</f>
        <v>#REF!</v>
      </c>
      <c r="F30" s="64" t="e">
        <f t="shared" ref="F30:F47" si="1">+D30*E30</f>
        <v>#REF!</v>
      </c>
    </row>
    <row r="31" spans="1:7" ht="30" hidden="1">
      <c r="A31" s="59">
        <v>2</v>
      </c>
      <c r="B31" s="60" t="s">
        <v>130</v>
      </c>
      <c r="C31" s="87" t="s">
        <v>80</v>
      </c>
      <c r="D31" s="96">
        <v>1</v>
      </c>
      <c r="E31" s="92" t="e">
        <f>+VLOOKUP(B31,#REF!,6,)</f>
        <v>#REF!</v>
      </c>
      <c r="F31" s="65" t="e">
        <f t="shared" si="1"/>
        <v>#REF!</v>
      </c>
    </row>
    <row r="32" spans="1:7" hidden="1">
      <c r="A32" s="59">
        <v>3</v>
      </c>
      <c r="B32" s="66" t="s">
        <v>81</v>
      </c>
      <c r="C32" s="87" t="s">
        <v>86</v>
      </c>
      <c r="D32" s="67">
        <f>2/20</f>
        <v>0.1</v>
      </c>
      <c r="E32" s="92" t="e">
        <f>+VLOOKUP(B32,#REF!,6,)</f>
        <v>#REF!</v>
      </c>
      <c r="F32" s="64" t="e">
        <f t="shared" si="1"/>
        <v>#REF!</v>
      </c>
    </row>
    <row r="33" spans="1:6" hidden="1">
      <c r="A33" s="59">
        <v>4</v>
      </c>
      <c r="B33" s="66" t="s">
        <v>169</v>
      </c>
      <c r="C33" s="87" t="s">
        <v>80</v>
      </c>
      <c r="D33" s="67">
        <v>2</v>
      </c>
      <c r="E33" s="92" t="e">
        <f>+VLOOKUP(B33,#REF!,6,)</f>
        <v>#REF!</v>
      </c>
      <c r="F33" s="64" t="e">
        <f t="shared" si="1"/>
        <v>#REF!</v>
      </c>
    </row>
    <row r="34" spans="1:6" hidden="1">
      <c r="A34" s="59">
        <v>5</v>
      </c>
      <c r="B34" s="66" t="s">
        <v>371</v>
      </c>
      <c r="C34" s="153" t="s">
        <v>3</v>
      </c>
      <c r="D34" s="67">
        <f>1*0.65</f>
        <v>0.65</v>
      </c>
      <c r="E34" s="92" t="e">
        <f>+VLOOKUP(B34,#REF!,6,)</f>
        <v>#REF!</v>
      </c>
      <c r="F34" s="64" t="e">
        <f t="shared" si="1"/>
        <v>#REF!</v>
      </c>
    </row>
    <row r="35" spans="1:6" hidden="1">
      <c r="A35" s="59">
        <v>6</v>
      </c>
      <c r="B35" s="66" t="s">
        <v>175</v>
      </c>
      <c r="C35" s="87" t="s">
        <v>4</v>
      </c>
      <c r="D35" s="339">
        <f>1*0.65*0.45</f>
        <v>0.29250000000000004</v>
      </c>
      <c r="E35" s="92" t="e">
        <f>+VLOOKUP(B35,#REF!,6,)</f>
        <v>#REF!</v>
      </c>
      <c r="F35" s="64" t="e">
        <f t="shared" si="1"/>
        <v>#REF!</v>
      </c>
    </row>
    <row r="36" spans="1:6" hidden="1">
      <c r="A36" s="59">
        <v>7</v>
      </c>
      <c r="B36" s="66" t="s">
        <v>150</v>
      </c>
      <c r="C36" s="87" t="s">
        <v>4</v>
      </c>
      <c r="D36" s="339">
        <f>1*0.65*0.5</f>
        <v>0.32500000000000001</v>
      </c>
      <c r="E36" s="92" t="e">
        <f>+VLOOKUP(B36,#REF!,6,)</f>
        <v>#REF!</v>
      </c>
      <c r="F36" s="64" t="e">
        <f t="shared" si="1"/>
        <v>#REF!</v>
      </c>
    </row>
    <row r="37" spans="1:6" hidden="1">
      <c r="A37" s="59">
        <v>8</v>
      </c>
      <c r="B37" s="66" t="s">
        <v>135</v>
      </c>
      <c r="C37" s="87" t="s">
        <v>4</v>
      </c>
      <c r="D37" s="339">
        <f>((D34*0.07)+(D35+D36))*1.3</f>
        <v>0.86190000000000011</v>
      </c>
      <c r="E37" s="92" t="e">
        <f>+VLOOKUP(B37,#REF!,6,)</f>
        <v>#REF!</v>
      </c>
      <c r="F37" s="64" t="e">
        <f t="shared" si="1"/>
        <v>#REF!</v>
      </c>
    </row>
    <row r="38" spans="1:6" hidden="1">
      <c r="A38" s="59">
        <v>9</v>
      </c>
      <c r="B38" s="66" t="s">
        <v>83</v>
      </c>
      <c r="C38" s="87" t="s">
        <v>4</v>
      </c>
      <c r="D38" s="339">
        <f>+D37</f>
        <v>0.86190000000000011</v>
      </c>
      <c r="E38" s="92" t="e">
        <f>+VLOOKUP(B38,#REF!,6,)</f>
        <v>#REF!</v>
      </c>
      <c r="F38" s="64" t="e">
        <f t="shared" si="1"/>
        <v>#REF!</v>
      </c>
    </row>
    <row r="39" spans="1:6" hidden="1">
      <c r="A39" s="59">
        <v>10</v>
      </c>
      <c r="B39" s="66" t="s">
        <v>176</v>
      </c>
      <c r="C39" s="153" t="s">
        <v>3</v>
      </c>
      <c r="D39" s="339">
        <f>1*0.65</f>
        <v>0.65</v>
      </c>
      <c r="E39" s="92" t="e">
        <f>+VLOOKUP(B39,#REF!,6,)</f>
        <v>#REF!</v>
      </c>
      <c r="F39" s="64" t="e">
        <f t="shared" si="1"/>
        <v>#REF!</v>
      </c>
    </row>
    <row r="40" spans="1:6" hidden="1">
      <c r="A40" s="59">
        <v>11</v>
      </c>
      <c r="B40" s="66" t="s">
        <v>82</v>
      </c>
      <c r="C40" s="87" t="s">
        <v>80</v>
      </c>
      <c r="D40" s="67">
        <v>4</v>
      </c>
      <c r="E40" s="92" t="e">
        <f>+VLOOKUP(B40,#REF!,6,)</f>
        <v>#REF!</v>
      </c>
      <c r="F40" s="64" t="e">
        <f t="shared" si="1"/>
        <v>#REF!</v>
      </c>
    </row>
    <row r="41" spans="1:6" hidden="1">
      <c r="A41" s="59">
        <v>12</v>
      </c>
      <c r="B41" s="66" t="s">
        <v>373</v>
      </c>
      <c r="C41" s="87" t="s">
        <v>80</v>
      </c>
      <c r="D41" s="67">
        <v>1</v>
      </c>
      <c r="E41" s="63">
        <v>150</v>
      </c>
      <c r="F41" s="64">
        <f t="shared" si="1"/>
        <v>150</v>
      </c>
    </row>
    <row r="42" spans="1:6" hidden="1">
      <c r="A42" s="59">
        <v>13</v>
      </c>
      <c r="B42" s="66" t="s">
        <v>177</v>
      </c>
      <c r="C42" s="87" t="s">
        <v>4</v>
      </c>
      <c r="D42" s="339">
        <f>(1*0.65*0.3)-(4*PI()*0.05^2)</f>
        <v>0.16358407346410209</v>
      </c>
      <c r="E42" s="92" t="e">
        <f>+VLOOKUP(B42,#REF!,6,)</f>
        <v>#REF!</v>
      </c>
      <c r="F42" s="64" t="e">
        <f t="shared" si="1"/>
        <v>#REF!</v>
      </c>
    </row>
    <row r="43" spans="1:6" hidden="1">
      <c r="A43" s="59">
        <v>14</v>
      </c>
      <c r="B43" s="66" t="s">
        <v>178</v>
      </c>
      <c r="C43" s="87" t="s">
        <v>4</v>
      </c>
      <c r="D43" s="67">
        <f>1*0.65*0.25</f>
        <v>0.16250000000000001</v>
      </c>
      <c r="E43" s="92" t="e">
        <f>+VLOOKUP(B43,#REF!,6,)</f>
        <v>#REF!</v>
      </c>
      <c r="F43" s="64" t="e">
        <f t="shared" si="1"/>
        <v>#REF!</v>
      </c>
    </row>
    <row r="44" spans="1:6" hidden="1">
      <c r="A44" s="59">
        <v>15</v>
      </c>
      <c r="B44" s="66" t="s">
        <v>179</v>
      </c>
      <c r="C44" s="87" t="s">
        <v>4</v>
      </c>
      <c r="D44" s="67">
        <f>1*0.65*0.2</f>
        <v>0.13</v>
      </c>
      <c r="E44" s="92" t="e">
        <f>+VLOOKUP(B44,#REF!,6,)</f>
        <v>#REF!</v>
      </c>
      <c r="F44" s="64" t="e">
        <f t="shared" si="1"/>
        <v>#REF!</v>
      </c>
    </row>
    <row r="45" spans="1:6" hidden="1">
      <c r="A45" s="59">
        <v>16</v>
      </c>
      <c r="B45" s="60" t="s">
        <v>251</v>
      </c>
      <c r="C45" s="87" t="s">
        <v>63</v>
      </c>
      <c r="D45" s="96">
        <f>((0.65/0.15)*1*1)+((1/0.15)*1*1)*2</f>
        <v>17.666666666666668</v>
      </c>
      <c r="E45" s="92" t="e">
        <f>+VLOOKUP(B45,#REF!,6,)</f>
        <v>#REF!</v>
      </c>
      <c r="F45" s="64" t="e">
        <f t="shared" si="1"/>
        <v>#REF!</v>
      </c>
    </row>
    <row r="46" spans="1:6" hidden="1">
      <c r="A46" s="59">
        <v>17</v>
      </c>
      <c r="B46" s="348" t="s">
        <v>379</v>
      </c>
      <c r="C46" s="87" t="s">
        <v>4</v>
      </c>
      <c r="D46" s="67">
        <f>0.65*0.2*1</f>
        <v>0.13</v>
      </c>
      <c r="E46" s="92" t="e">
        <f>+VLOOKUP(B46,#REF!,6,)</f>
        <v>#REF!</v>
      </c>
      <c r="F46" s="64" t="e">
        <f t="shared" si="1"/>
        <v>#REF!</v>
      </c>
    </row>
    <row r="47" spans="1:6" ht="15.75" hidden="1" thickBot="1">
      <c r="A47" s="59">
        <v>18</v>
      </c>
      <c r="B47" s="70" t="s">
        <v>376</v>
      </c>
      <c r="C47" s="71" t="s">
        <v>3</v>
      </c>
      <c r="D47" s="341">
        <v>4</v>
      </c>
      <c r="E47" s="344">
        <v>120000</v>
      </c>
      <c r="F47" s="72">
        <f t="shared" si="1"/>
        <v>480000</v>
      </c>
    </row>
    <row r="48" spans="1:6" ht="15.75" hidden="1" thickBot="1">
      <c r="A48" s="119"/>
      <c r="B48" s="119"/>
      <c r="C48" s="119"/>
      <c r="D48" s="119"/>
      <c r="E48" s="119"/>
      <c r="F48" s="119"/>
    </row>
    <row r="49" spans="1:23" ht="16.5" hidden="1" thickBot="1">
      <c r="A49" s="1878" t="s">
        <v>5</v>
      </c>
      <c r="B49" s="1879"/>
      <c r="C49" s="1879"/>
      <c r="D49" s="1879"/>
      <c r="E49" s="1880"/>
      <c r="F49" s="95" t="e">
        <f>ROUND(SUM(F30:F47),0)</f>
        <v>#REF!</v>
      </c>
    </row>
    <row r="51" spans="1:23" s="346" customFormat="1" ht="33" customHeight="1">
      <c r="H51" s="340"/>
      <c r="I51" s="119"/>
      <c r="J51" s="383"/>
      <c r="K51" s="831"/>
      <c r="L51" s="473"/>
      <c r="M51" s="472"/>
      <c r="N51" s="347"/>
      <c r="O51" s="345"/>
      <c r="P51" s="345"/>
      <c r="Q51" s="345"/>
      <c r="R51" s="345"/>
      <c r="S51" s="345"/>
      <c r="T51" s="345"/>
    </row>
    <row r="52" spans="1:23" ht="15.75" thickBot="1">
      <c r="B52" s="80"/>
      <c r="G52" s="80"/>
      <c r="H52" s="171"/>
      <c r="P52" s="120"/>
      <c r="Q52" s="120"/>
      <c r="R52" s="120"/>
      <c r="S52" s="120"/>
      <c r="T52" s="120"/>
    </row>
    <row r="53" spans="1:23" ht="16.5" thickBot="1">
      <c r="B53" s="80"/>
      <c r="G53" s="80"/>
      <c r="I53" s="401" t="s">
        <v>6</v>
      </c>
      <c r="J53" s="402" t="s">
        <v>7</v>
      </c>
      <c r="K53" s="832" t="s">
        <v>0</v>
      </c>
      <c r="L53" s="463" t="s">
        <v>8</v>
      </c>
      <c r="M53" s="402"/>
      <c r="N53" s="833" t="s">
        <v>387</v>
      </c>
      <c r="O53" s="403"/>
      <c r="P53" s="120"/>
      <c r="Q53" s="120"/>
      <c r="R53" s="120"/>
      <c r="S53" s="120"/>
      <c r="T53" s="120"/>
    </row>
    <row r="54" spans="1:23" ht="15.75">
      <c r="B54" s="80"/>
      <c r="G54" s="80"/>
      <c r="I54" s="410"/>
      <c r="J54" s="478" t="s">
        <v>396</v>
      </c>
      <c r="K54" s="420" t="s">
        <v>31</v>
      </c>
      <c r="L54" s="545"/>
      <c r="M54" s="487"/>
      <c r="N54" s="488"/>
      <c r="O54" s="489"/>
      <c r="P54" s="120"/>
      <c r="Q54" s="120"/>
      <c r="R54" s="120"/>
      <c r="S54" s="120"/>
      <c r="T54" s="120"/>
    </row>
    <row r="55" spans="1:23">
      <c r="B55" s="80"/>
      <c r="G55" s="80"/>
      <c r="I55" s="411"/>
      <c r="J55" s="417" t="s">
        <v>34</v>
      </c>
      <c r="K55" s="421" t="s">
        <v>12</v>
      </c>
      <c r="L55" s="498">
        <v>1</v>
      </c>
      <c r="M55" s="483"/>
      <c r="N55" s="485">
        <v>0.15</v>
      </c>
      <c r="O55" s="490"/>
      <c r="P55" s="120"/>
      <c r="Q55" s="120"/>
      <c r="R55" s="120"/>
      <c r="S55" s="120"/>
      <c r="T55" s="120"/>
    </row>
    <row r="56" spans="1:23">
      <c r="B56" s="80"/>
      <c r="G56" s="80"/>
      <c r="I56" s="411"/>
      <c r="J56" s="417" t="s">
        <v>25</v>
      </c>
      <c r="K56" s="421" t="s">
        <v>14</v>
      </c>
      <c r="L56" s="498">
        <v>0.1</v>
      </c>
      <c r="M56" s="483"/>
      <c r="N56" s="484"/>
      <c r="O56" s="490"/>
      <c r="P56" s="120"/>
      <c r="Q56" s="120"/>
      <c r="R56" s="120"/>
      <c r="S56" s="120"/>
      <c r="T56" s="120"/>
    </row>
    <row r="57" spans="1:23" ht="15.75" thickBot="1">
      <c r="B57" s="80"/>
      <c r="G57" s="80"/>
      <c r="I57" s="415"/>
      <c r="J57" s="457" t="s">
        <v>143</v>
      </c>
      <c r="K57" s="426" t="s">
        <v>12</v>
      </c>
      <c r="L57" s="499">
        <v>8</v>
      </c>
      <c r="M57" s="492"/>
      <c r="N57" s="493">
        <v>7.0999999999999994E-2</v>
      </c>
      <c r="O57" s="494"/>
      <c r="P57" s="120"/>
      <c r="Q57" s="120"/>
      <c r="R57" s="120"/>
      <c r="S57" s="120"/>
      <c r="T57" s="120"/>
    </row>
    <row r="58" spans="1:23" ht="16.5" customHeight="1" thickBot="1">
      <c r="B58" s="1897" t="s">
        <v>614</v>
      </c>
      <c r="C58" s="1898"/>
      <c r="D58" s="1898"/>
      <c r="E58" s="1898"/>
      <c r="F58" s="1899"/>
      <c r="G58" s="80"/>
      <c r="I58" s="495" t="s">
        <v>5</v>
      </c>
      <c r="J58" s="496"/>
      <c r="K58" s="543"/>
      <c r="L58" s="543"/>
      <c r="M58" s="496"/>
      <c r="N58" s="834"/>
      <c r="O58" s="471"/>
      <c r="P58" s="120"/>
      <c r="Q58" s="120"/>
      <c r="R58" s="120"/>
      <c r="S58" s="120"/>
      <c r="T58" s="120"/>
    </row>
    <row r="59" spans="1:23" ht="15" customHeight="1">
      <c r="B59" s="1900"/>
      <c r="C59" s="1901"/>
      <c r="D59" s="1901"/>
      <c r="E59" s="1901"/>
      <c r="F59" s="1902"/>
      <c r="G59" s="80"/>
      <c r="I59" s="383"/>
      <c r="J59" s="383"/>
      <c r="K59" s="347"/>
      <c r="L59" s="473"/>
      <c r="M59" s="472"/>
      <c r="N59" s="831"/>
      <c r="O59" s="345"/>
      <c r="P59" s="120"/>
      <c r="Q59" s="120"/>
      <c r="R59" s="120"/>
      <c r="S59" s="120"/>
      <c r="T59" s="120"/>
    </row>
    <row r="60" spans="1:23" ht="15.75" customHeight="1" thickBot="1">
      <c r="B60" s="1900"/>
      <c r="C60" s="1901"/>
      <c r="D60" s="1901"/>
      <c r="E60" s="1901"/>
      <c r="F60" s="1902"/>
      <c r="G60" s="80"/>
      <c r="I60" s="383"/>
      <c r="J60" s="383"/>
      <c r="K60" s="831"/>
      <c r="L60" s="473"/>
      <c r="M60" s="472"/>
      <c r="N60" s="347"/>
      <c r="O60" s="345"/>
      <c r="P60" s="120"/>
      <c r="Q60" s="120"/>
      <c r="R60" s="120"/>
      <c r="S60" s="120"/>
      <c r="T60" s="120"/>
    </row>
    <row r="61" spans="1:23" ht="16.5" customHeight="1" thickBot="1">
      <c r="B61" s="1900"/>
      <c r="C61" s="1901"/>
      <c r="D61" s="1901"/>
      <c r="E61" s="1901"/>
      <c r="F61" s="1902"/>
      <c r="G61" s="80"/>
      <c r="I61" s="401" t="s">
        <v>6</v>
      </c>
      <c r="J61" s="402" t="s">
        <v>7</v>
      </c>
      <c r="K61" s="832" t="s">
        <v>0</v>
      </c>
      <c r="L61" s="463" t="s">
        <v>8</v>
      </c>
      <c r="M61" s="402"/>
      <c r="N61" s="833" t="s">
        <v>387</v>
      </c>
      <c r="O61" s="403"/>
      <c r="P61" s="120"/>
      <c r="Q61" s="401" t="s">
        <v>6</v>
      </c>
      <c r="R61" s="402" t="s">
        <v>7</v>
      </c>
      <c r="S61" s="832" t="s">
        <v>0</v>
      </c>
      <c r="T61" s="463" t="s">
        <v>8</v>
      </c>
      <c r="U61" s="402" t="s">
        <v>2</v>
      </c>
      <c r="V61" s="833" t="s">
        <v>387</v>
      </c>
      <c r="W61" s="403" t="s">
        <v>9</v>
      </c>
    </row>
    <row r="62" spans="1:23" ht="15.75" customHeight="1">
      <c r="B62" s="1900"/>
      <c r="C62" s="1901"/>
      <c r="D62" s="1901"/>
      <c r="E62" s="1901"/>
      <c r="F62" s="1902"/>
      <c r="G62" s="80"/>
      <c r="I62" s="410"/>
      <c r="J62" s="478" t="s">
        <v>82</v>
      </c>
      <c r="K62" s="479"/>
      <c r="L62" s="820"/>
      <c r="M62" s="480"/>
      <c r="N62" s="835"/>
      <c r="O62" s="481"/>
      <c r="P62" s="120"/>
      <c r="Q62" s="410"/>
      <c r="R62" s="478" t="s">
        <v>136</v>
      </c>
      <c r="S62" s="479"/>
      <c r="T62" s="820"/>
      <c r="U62" s="480"/>
      <c r="V62" s="835"/>
      <c r="W62" s="481"/>
    </row>
    <row r="63" spans="1:23" ht="15.75" customHeight="1">
      <c r="B63" s="1900"/>
      <c r="C63" s="1901"/>
      <c r="D63" s="1901"/>
      <c r="E63" s="1901"/>
      <c r="F63" s="1902"/>
      <c r="G63" s="80"/>
      <c r="I63" s="411"/>
      <c r="J63" s="417" t="s">
        <v>82</v>
      </c>
      <c r="K63" s="413" t="s">
        <v>0</v>
      </c>
      <c r="L63" s="477">
        <v>1.05</v>
      </c>
      <c r="M63" s="475"/>
      <c r="N63" s="476"/>
      <c r="O63" s="455"/>
      <c r="P63" s="120"/>
      <c r="Q63" s="411"/>
      <c r="R63" s="417" t="s">
        <v>82</v>
      </c>
      <c r="S63" s="413" t="s">
        <v>0</v>
      </c>
      <c r="T63" s="477">
        <v>1.05</v>
      </c>
      <c r="U63" s="475"/>
      <c r="V63" s="476"/>
      <c r="W63" s="455"/>
    </row>
    <row r="64" spans="1:23" ht="15" customHeight="1">
      <c r="B64" s="1900"/>
      <c r="C64" s="1901"/>
      <c r="D64" s="1901"/>
      <c r="E64" s="1901"/>
      <c r="F64" s="1902"/>
      <c r="G64" s="80"/>
      <c r="I64" s="411"/>
      <c r="J64" s="417" t="s">
        <v>137</v>
      </c>
      <c r="K64" s="413" t="s">
        <v>138</v>
      </c>
      <c r="L64" s="477">
        <v>0.05</v>
      </c>
      <c r="M64" s="475"/>
      <c r="N64" s="476"/>
      <c r="O64" s="455"/>
      <c r="P64" s="120"/>
      <c r="Q64" s="411"/>
      <c r="R64" s="417" t="s">
        <v>137</v>
      </c>
      <c r="S64" s="413" t="s">
        <v>138</v>
      </c>
      <c r="T64" s="477">
        <v>0.05</v>
      </c>
      <c r="U64" s="475"/>
      <c r="V64" s="476"/>
      <c r="W64" s="455"/>
    </row>
    <row r="65" spans="2:23" ht="15" customHeight="1">
      <c r="B65" s="1900"/>
      <c r="C65" s="1901"/>
      <c r="D65" s="1901"/>
      <c r="E65" s="1901"/>
      <c r="F65" s="1902"/>
      <c r="G65" s="80"/>
      <c r="I65" s="411"/>
      <c r="J65" s="417" t="s">
        <v>139</v>
      </c>
      <c r="K65" s="413" t="s">
        <v>23</v>
      </c>
      <c r="L65" s="477">
        <v>0.05</v>
      </c>
      <c r="M65" s="414"/>
      <c r="N65" s="438"/>
      <c r="O65" s="455"/>
      <c r="P65" s="120"/>
      <c r="Q65" s="411"/>
      <c r="R65" s="417" t="s">
        <v>139</v>
      </c>
      <c r="S65" s="413" t="s">
        <v>23</v>
      </c>
      <c r="T65" s="477">
        <v>0.05</v>
      </c>
      <c r="U65" s="414"/>
      <c r="V65" s="438"/>
      <c r="W65" s="455"/>
    </row>
    <row r="66" spans="2:23" ht="16.5" customHeight="1">
      <c r="B66" s="1900"/>
      <c r="C66" s="1901"/>
      <c r="D66" s="1901"/>
      <c r="E66" s="1901"/>
      <c r="F66" s="1902"/>
      <c r="G66" s="80"/>
      <c r="I66" s="411"/>
      <c r="J66" s="417" t="s">
        <v>61</v>
      </c>
      <c r="K66" s="413" t="s">
        <v>11</v>
      </c>
      <c r="L66" s="477">
        <v>0.03</v>
      </c>
      <c r="M66" s="414"/>
      <c r="N66" s="438"/>
      <c r="O66" s="455"/>
      <c r="P66" s="120"/>
      <c r="Q66" s="411"/>
      <c r="R66" s="417" t="s">
        <v>61</v>
      </c>
      <c r="S66" s="413" t="s">
        <v>11</v>
      </c>
      <c r="T66" s="477">
        <v>0.03</v>
      </c>
      <c r="U66" s="414"/>
      <c r="V66" s="438"/>
      <c r="W66" s="455"/>
    </row>
    <row r="67" spans="2:23" ht="15" customHeight="1">
      <c r="B67" s="1900"/>
      <c r="C67" s="1901"/>
      <c r="D67" s="1901"/>
      <c r="E67" s="1901"/>
      <c r="F67" s="1902"/>
      <c r="G67" s="80"/>
      <c r="I67" s="411"/>
      <c r="J67" s="417" t="s">
        <v>30</v>
      </c>
      <c r="K67" s="413" t="s">
        <v>12</v>
      </c>
      <c r="L67" s="441">
        <v>1</v>
      </c>
      <c r="M67" s="414"/>
      <c r="N67" s="441">
        <v>0.01</v>
      </c>
      <c r="O67" s="455"/>
      <c r="P67" s="120"/>
      <c r="Q67" s="411"/>
      <c r="R67" s="417" t="s">
        <v>30</v>
      </c>
      <c r="S67" s="413" t="s">
        <v>12</v>
      </c>
      <c r="T67" s="441">
        <v>1</v>
      </c>
      <c r="U67" s="414"/>
      <c r="V67" s="441">
        <v>0.01</v>
      </c>
      <c r="W67" s="455"/>
    </row>
    <row r="68" spans="2:23" ht="15.75" customHeight="1" thickBot="1">
      <c r="B68" s="1900"/>
      <c r="C68" s="1901"/>
      <c r="D68" s="1901"/>
      <c r="E68" s="1901"/>
      <c r="F68" s="1902"/>
      <c r="G68" s="80"/>
      <c r="I68" s="415"/>
      <c r="J68" s="457" t="s">
        <v>25</v>
      </c>
      <c r="K68" s="433" t="s">
        <v>14</v>
      </c>
      <c r="L68" s="458">
        <v>0.1</v>
      </c>
      <c r="M68" s="460"/>
      <c r="N68" s="458"/>
      <c r="O68" s="461"/>
      <c r="P68" s="120"/>
      <c r="Q68" s="415"/>
      <c r="R68" s="457" t="s">
        <v>25</v>
      </c>
      <c r="S68" s="433" t="s">
        <v>14</v>
      </c>
      <c r="T68" s="458">
        <v>0.1</v>
      </c>
      <c r="U68" s="460"/>
      <c r="V68" s="458"/>
      <c r="W68" s="461"/>
    </row>
    <row r="69" spans="2:23" ht="16.5" customHeight="1" thickBot="1">
      <c r="B69" s="1900"/>
      <c r="C69" s="1901"/>
      <c r="D69" s="1901"/>
      <c r="E69" s="1901"/>
      <c r="F69" s="1902"/>
      <c r="G69" s="80"/>
      <c r="I69" s="495" t="s">
        <v>5</v>
      </c>
      <c r="J69" s="496"/>
      <c r="K69" s="543"/>
      <c r="L69" s="543"/>
      <c r="M69" s="496"/>
      <c r="N69" s="834"/>
      <c r="O69" s="471"/>
      <c r="P69" s="120"/>
      <c r="Q69" s="495" t="s">
        <v>5</v>
      </c>
      <c r="R69" s="496"/>
      <c r="S69" s="543"/>
      <c r="T69" s="543"/>
      <c r="U69" s="496"/>
      <c r="V69" s="834"/>
      <c r="W69" s="471"/>
    </row>
    <row r="70" spans="2:23" ht="15.75" customHeight="1" thickBot="1">
      <c r="B70" s="1900"/>
      <c r="C70" s="1901"/>
      <c r="D70" s="1901"/>
      <c r="E70" s="1901"/>
      <c r="F70" s="1902"/>
      <c r="G70" s="80"/>
      <c r="I70" s="383"/>
      <c r="J70" s="383"/>
      <c r="K70" s="347"/>
      <c r="P70" s="120"/>
      <c r="Q70" s="120"/>
      <c r="R70" s="120"/>
      <c r="S70" s="120"/>
      <c r="T70" s="120"/>
    </row>
    <row r="71" spans="2:23" ht="16.5" customHeight="1" thickBot="1">
      <c r="B71" s="1903"/>
      <c r="C71" s="1904"/>
      <c r="D71" s="1904"/>
      <c r="E71" s="1904"/>
      <c r="F71" s="1905"/>
      <c r="G71" s="80"/>
      <c r="I71" s="401" t="s">
        <v>6</v>
      </c>
      <c r="J71" s="402" t="s">
        <v>7</v>
      </c>
      <c r="K71" s="832" t="s">
        <v>0</v>
      </c>
      <c r="L71" s="463" t="s">
        <v>8</v>
      </c>
      <c r="M71" s="402"/>
      <c r="N71" s="833" t="s">
        <v>387</v>
      </c>
      <c r="O71" s="403"/>
      <c r="P71" s="120"/>
      <c r="Q71" s="120"/>
      <c r="R71" s="120"/>
      <c r="S71" s="120"/>
      <c r="T71" s="120"/>
    </row>
    <row r="72" spans="2:23" ht="31.5">
      <c r="B72" s="80"/>
      <c r="G72" s="80"/>
      <c r="I72" s="469"/>
      <c r="J72" s="470" t="s">
        <v>130</v>
      </c>
      <c r="K72" s="404" t="s">
        <v>31</v>
      </c>
      <c r="L72" s="404"/>
      <c r="M72" s="405"/>
      <c r="N72" s="404"/>
      <c r="O72" s="437"/>
      <c r="P72" s="120"/>
      <c r="Q72" s="120"/>
      <c r="R72" s="120"/>
      <c r="S72" s="120"/>
      <c r="T72" s="120"/>
    </row>
    <row r="73" spans="2:23" ht="15.75">
      <c r="B73" s="80"/>
      <c r="G73" s="80"/>
      <c r="I73" s="467"/>
      <c r="J73" s="465" t="s">
        <v>389</v>
      </c>
      <c r="K73" s="413" t="s">
        <v>31</v>
      </c>
      <c r="L73" s="430">
        <v>2</v>
      </c>
      <c r="M73" s="431"/>
      <c r="N73" s="413">
        <v>0.5</v>
      </c>
      <c r="O73" s="432"/>
      <c r="P73" s="120"/>
      <c r="Q73" s="120"/>
      <c r="R73" s="120"/>
      <c r="S73" s="120"/>
      <c r="T73" s="120"/>
    </row>
    <row r="74" spans="2:23" ht="24.75" customHeight="1">
      <c r="B74" s="80"/>
      <c r="G74" s="80"/>
      <c r="I74" s="467"/>
      <c r="J74" s="465" t="s">
        <v>28</v>
      </c>
      <c r="K74" s="413" t="s">
        <v>40</v>
      </c>
      <c r="L74" s="413">
        <v>8.0000000000000002E-3</v>
      </c>
      <c r="M74" s="431"/>
      <c r="N74" s="413">
        <v>1.03</v>
      </c>
      <c r="O74" s="432"/>
      <c r="P74" s="120"/>
      <c r="Q74" s="120"/>
      <c r="R74" s="120"/>
      <c r="S74" s="120"/>
      <c r="T74" s="120"/>
    </row>
    <row r="75" spans="2:23" ht="15.75">
      <c r="B75" s="80"/>
      <c r="G75" s="80"/>
      <c r="I75" s="467"/>
      <c r="J75" s="465" t="s">
        <v>131</v>
      </c>
      <c r="K75" s="413" t="s">
        <v>23</v>
      </c>
      <c r="L75" s="430">
        <v>1</v>
      </c>
      <c r="M75" s="431"/>
      <c r="N75" s="413">
        <v>0.04</v>
      </c>
      <c r="O75" s="432"/>
      <c r="P75" s="120"/>
      <c r="Q75" s="120"/>
      <c r="R75" s="120"/>
      <c r="S75" s="120"/>
      <c r="T75" s="120"/>
    </row>
    <row r="76" spans="2:23" ht="16.5" thickBot="1">
      <c r="B76" s="80"/>
      <c r="G76" s="80">
        <f>0.02*6*4</f>
        <v>0.48</v>
      </c>
      <c r="I76" s="468"/>
      <c r="J76" s="466" t="s">
        <v>44</v>
      </c>
      <c r="K76" s="433" t="s">
        <v>12</v>
      </c>
      <c r="L76" s="434">
        <v>1</v>
      </c>
      <c r="M76" s="435"/>
      <c r="N76" s="433">
        <v>0.02</v>
      </c>
      <c r="O76" s="436"/>
      <c r="P76" s="120"/>
      <c r="Q76" s="120"/>
      <c r="R76" s="120"/>
      <c r="S76" s="120"/>
      <c r="T76" s="120"/>
    </row>
    <row r="77" spans="2:23" ht="16.5" thickBot="1">
      <c r="B77" s="80"/>
      <c r="G77" s="80"/>
      <c r="I77" s="495" t="s">
        <v>5</v>
      </c>
      <c r="J77" s="496"/>
      <c r="K77" s="543"/>
      <c r="L77" s="543"/>
      <c r="M77" s="496"/>
      <c r="N77" s="834"/>
      <c r="O77" s="471"/>
      <c r="P77" s="120"/>
      <c r="Q77" s="120"/>
      <c r="R77" s="120"/>
      <c r="S77" s="120"/>
      <c r="T77" s="120"/>
    </row>
    <row r="78" spans="2:23" ht="15.75" thickBot="1">
      <c r="I78" s="383"/>
      <c r="J78" s="383"/>
      <c r="K78" s="347"/>
      <c r="L78" s="347"/>
      <c r="M78" s="120"/>
      <c r="N78" s="347"/>
      <c r="O78" s="120"/>
      <c r="P78" s="120"/>
      <c r="Q78" s="120"/>
      <c r="R78" s="120"/>
      <c r="S78" s="120"/>
      <c r="T78" s="120"/>
    </row>
    <row r="79" spans="2:23" ht="16.5" thickBot="1">
      <c r="I79" s="401" t="s">
        <v>6</v>
      </c>
      <c r="J79" s="402" t="s">
        <v>7</v>
      </c>
      <c r="K79" s="463" t="s">
        <v>0</v>
      </c>
      <c r="L79" s="463" t="s">
        <v>8</v>
      </c>
      <c r="M79" s="402"/>
      <c r="N79" s="836" t="s">
        <v>387</v>
      </c>
      <c r="O79" s="403"/>
      <c r="P79" s="120"/>
      <c r="Q79" s="120"/>
      <c r="R79" s="120"/>
      <c r="S79" s="120"/>
      <c r="T79" s="120"/>
    </row>
    <row r="80" spans="2:23" ht="32.25" thickBot="1">
      <c r="I80" s="442"/>
      <c r="J80" s="443" t="s">
        <v>79</v>
      </c>
      <c r="K80" s="444" t="s">
        <v>31</v>
      </c>
      <c r="L80" s="445"/>
      <c r="M80" s="446"/>
      <c r="N80" s="837"/>
      <c r="O80" s="447"/>
      <c r="P80" s="120"/>
      <c r="Q80" s="120"/>
      <c r="R80" s="120"/>
      <c r="S80" s="120"/>
      <c r="T80" s="120"/>
    </row>
    <row r="81" spans="1:20" ht="27.6" customHeight="1" thickBot="1">
      <c r="A81" s="973"/>
      <c r="B81" s="1854" t="s">
        <v>471</v>
      </c>
      <c r="C81" s="1854"/>
      <c r="D81" s="1854"/>
      <c r="E81" s="1854"/>
      <c r="F81" s="974" t="s">
        <v>297</v>
      </c>
      <c r="G81" s="171"/>
      <c r="I81" s="411"/>
      <c r="J81" s="417" t="s">
        <v>131</v>
      </c>
      <c r="K81" s="421" t="s">
        <v>23</v>
      </c>
      <c r="L81" s="422">
        <v>1</v>
      </c>
      <c r="M81" s="423"/>
      <c r="N81" s="421">
        <v>0.08</v>
      </c>
      <c r="O81" s="424"/>
      <c r="P81" s="120"/>
      <c r="Q81" s="120"/>
      <c r="R81" s="120"/>
      <c r="S81" s="120"/>
      <c r="T81" s="120"/>
    </row>
    <row r="82" spans="1:20" ht="36.75" customHeight="1">
      <c r="A82" s="975" t="s">
        <v>394</v>
      </c>
      <c r="B82" s="976" t="s">
        <v>7</v>
      </c>
      <c r="C82" s="977" t="s">
        <v>0</v>
      </c>
      <c r="D82" s="977" t="s">
        <v>8</v>
      </c>
      <c r="E82" s="977" t="s">
        <v>2</v>
      </c>
      <c r="F82" s="978" t="s">
        <v>9</v>
      </c>
      <c r="G82" s="772"/>
      <c r="H82" s="91"/>
      <c r="I82" s="411"/>
      <c r="J82" s="418" t="s">
        <v>57</v>
      </c>
      <c r="K82" s="421" t="s">
        <v>22</v>
      </c>
      <c r="L82" s="422">
        <f>1.4*1</f>
        <v>1.4</v>
      </c>
      <c r="M82" s="423"/>
      <c r="N82" s="421">
        <v>1.1000000000000001</v>
      </c>
      <c r="O82" s="424"/>
      <c r="P82" s="121"/>
      <c r="Q82" s="120"/>
      <c r="R82" s="120"/>
      <c r="S82" s="120"/>
      <c r="T82" s="120"/>
    </row>
    <row r="83" spans="1:20" ht="15.75">
      <c r="A83" s="979"/>
      <c r="B83" s="980" t="s">
        <v>396</v>
      </c>
      <c r="C83" s="981" t="s">
        <v>80</v>
      </c>
      <c r="D83" s="982">
        <f>4</f>
        <v>4</v>
      </c>
      <c r="E83" s="983">
        <f>+O58</f>
        <v>0</v>
      </c>
      <c r="F83" s="984">
        <f>+ROUND(D83*E83,0)</f>
        <v>0</v>
      </c>
      <c r="G83" s="772"/>
      <c r="H83" s="91"/>
      <c r="I83" s="411"/>
      <c r="J83" s="418" t="s">
        <v>44</v>
      </c>
      <c r="K83" s="421" t="s">
        <v>12</v>
      </c>
      <c r="L83" s="422">
        <v>1</v>
      </c>
      <c r="M83" s="423"/>
      <c r="N83" s="425">
        <v>0.05</v>
      </c>
      <c r="O83" s="424"/>
      <c r="P83" s="122"/>
      <c r="Q83" s="120"/>
      <c r="R83" s="120"/>
      <c r="S83" s="120"/>
      <c r="T83" s="120"/>
    </row>
    <row r="84" spans="1:20" ht="18.75" customHeight="1" thickBot="1">
      <c r="A84" s="979"/>
      <c r="B84" s="985" t="s">
        <v>82</v>
      </c>
      <c r="C84" s="986" t="s">
        <v>80</v>
      </c>
      <c r="D84" s="982">
        <f>4</f>
        <v>4</v>
      </c>
      <c r="E84" s="983">
        <f>+O69</f>
        <v>0</v>
      </c>
      <c r="F84" s="984">
        <f>+ROUND(D84*E84,0)</f>
        <v>0</v>
      </c>
      <c r="G84" s="772"/>
      <c r="H84" s="91"/>
      <c r="I84" s="415"/>
      <c r="J84" s="419" t="s">
        <v>25</v>
      </c>
      <c r="K84" s="426" t="s">
        <v>14</v>
      </c>
      <c r="L84" s="427">
        <v>0.1</v>
      </c>
      <c r="M84" s="428"/>
      <c r="N84" s="426"/>
      <c r="O84" s="429"/>
      <c r="P84" s="122"/>
      <c r="Q84" s="120"/>
      <c r="R84" s="120"/>
      <c r="S84" s="120"/>
      <c r="T84" s="120"/>
    </row>
    <row r="85" spans="1:20" ht="16.5" customHeight="1" thickBot="1">
      <c r="A85" s="979"/>
      <c r="B85" s="987" t="s">
        <v>135</v>
      </c>
      <c r="C85" s="981" t="s">
        <v>4</v>
      </c>
      <c r="D85" s="982">
        <f>(((0.1016*0.1016*3.1416)/4)*4*1.3)</f>
        <v>4.2158160844800001E-2</v>
      </c>
      <c r="E85" s="983">
        <f>+O92</f>
        <v>0</v>
      </c>
      <c r="F85" s="984">
        <f>+ROUND(D85*E85,0)</f>
        <v>0</v>
      </c>
      <c r="G85" s="772"/>
      <c r="H85" s="91"/>
      <c r="I85" s="495" t="s">
        <v>5</v>
      </c>
      <c r="J85" s="496"/>
      <c r="K85" s="543"/>
      <c r="L85" s="543"/>
      <c r="M85" s="496"/>
      <c r="N85" s="834"/>
      <c r="O85" s="471"/>
      <c r="P85" s="122"/>
      <c r="Q85" s="120"/>
      <c r="R85" s="120"/>
      <c r="S85" s="120"/>
      <c r="T85" s="120"/>
    </row>
    <row r="86" spans="1:20" ht="21" customHeight="1" thickBot="1">
      <c r="A86" s="979"/>
      <c r="B86" s="987" t="s">
        <v>83</v>
      </c>
      <c r="C86" s="981" t="s">
        <v>4</v>
      </c>
      <c r="D86" s="982">
        <f>+D85</f>
        <v>4.2158160844800001E-2</v>
      </c>
      <c r="E86" s="983">
        <f>+O100</f>
        <v>0</v>
      </c>
      <c r="F86" s="984">
        <f>+ROUND(D86*E86,0)</f>
        <v>0</v>
      </c>
      <c r="G86" s="772"/>
      <c r="H86" s="91"/>
      <c r="I86" s="372"/>
      <c r="J86" s="383"/>
      <c r="K86" s="347"/>
      <c r="L86" s="347"/>
      <c r="M86" s="120"/>
      <c r="N86" s="347"/>
      <c r="O86" s="120"/>
      <c r="P86" s="122"/>
      <c r="Q86" s="120"/>
      <c r="R86" s="120"/>
      <c r="S86" s="120"/>
      <c r="T86" s="120"/>
    </row>
    <row r="87" spans="1:20" ht="16.5" thickBot="1">
      <c r="A87" s="728"/>
      <c r="B87" s="729"/>
      <c r="C87" s="728"/>
      <c r="D87" s="728"/>
      <c r="E87" s="728"/>
      <c r="F87" s="728"/>
      <c r="G87" s="171"/>
      <c r="I87" s="401" t="s">
        <v>6</v>
      </c>
      <c r="J87" s="402" t="s">
        <v>7</v>
      </c>
      <c r="K87" s="463" t="s">
        <v>0</v>
      </c>
      <c r="L87" s="463" t="s">
        <v>8</v>
      </c>
      <c r="M87" s="402"/>
      <c r="N87" s="836" t="s">
        <v>387</v>
      </c>
      <c r="O87" s="403"/>
      <c r="P87" s="120"/>
      <c r="Q87" s="120"/>
      <c r="R87" s="120"/>
      <c r="S87" s="120"/>
      <c r="T87" s="120"/>
    </row>
    <row r="88" spans="1:20" ht="21" thickBot="1">
      <c r="A88" s="1906" t="s">
        <v>5</v>
      </c>
      <c r="B88" s="1907"/>
      <c r="C88" s="1907"/>
      <c r="D88" s="1907"/>
      <c r="E88" s="1907"/>
      <c r="F88" s="988">
        <f>ROUND(SUM(F83:F86),0)</f>
        <v>0</v>
      </c>
      <c r="G88" s="171"/>
      <c r="I88" s="452"/>
      <c r="J88" s="448" t="s">
        <v>135</v>
      </c>
      <c r="K88" s="449" t="s">
        <v>40</v>
      </c>
      <c r="L88" s="450"/>
      <c r="M88" s="451"/>
      <c r="N88" s="450"/>
      <c r="O88" s="453"/>
      <c r="P88" s="120"/>
      <c r="Q88" s="120"/>
      <c r="R88" s="120"/>
      <c r="S88" s="120"/>
      <c r="T88" s="120"/>
    </row>
    <row r="89" spans="1:20" ht="16.5" thickBot="1">
      <c r="A89" s="1158"/>
      <c r="B89" s="1158"/>
      <c r="C89" s="1158"/>
      <c r="D89" s="1158"/>
      <c r="E89" s="1158"/>
      <c r="F89" s="558"/>
      <c r="G89" s="171"/>
      <c r="I89" s="454"/>
      <c r="J89" s="417" t="s">
        <v>13</v>
      </c>
      <c r="K89" s="438" t="s">
        <v>14</v>
      </c>
      <c r="L89" s="441">
        <v>0.1</v>
      </c>
      <c r="M89" s="414"/>
      <c r="N89" s="441"/>
      <c r="O89" s="455"/>
      <c r="P89" s="120"/>
      <c r="Q89" s="120"/>
      <c r="R89" s="120"/>
      <c r="S89" s="120"/>
      <c r="T89" s="120"/>
    </row>
    <row r="90" spans="1:20" ht="33.75" customHeight="1" thickBot="1">
      <c r="A90" s="1161"/>
      <c r="B90" s="1872" t="s">
        <v>470</v>
      </c>
      <c r="C90" s="1873"/>
      <c r="D90" s="1873"/>
      <c r="E90" s="1874"/>
      <c r="F90" s="386" t="s">
        <v>297</v>
      </c>
      <c r="G90" s="171"/>
      <c r="I90" s="454"/>
      <c r="J90" s="417" t="s">
        <v>15</v>
      </c>
      <c r="K90" s="438" t="s">
        <v>14</v>
      </c>
      <c r="L90" s="441">
        <v>0.1</v>
      </c>
      <c r="M90" s="414"/>
      <c r="N90" s="441"/>
      <c r="O90" s="455"/>
      <c r="P90" s="120"/>
      <c r="Q90" s="120"/>
      <c r="R90" s="120"/>
      <c r="S90" s="120"/>
      <c r="T90" s="120"/>
    </row>
    <row r="91" spans="1:20" ht="35.25" customHeight="1" thickBot="1">
      <c r="A91" s="387" t="s">
        <v>394</v>
      </c>
      <c r="B91" s="388" t="s">
        <v>7</v>
      </c>
      <c r="C91" s="389" t="s">
        <v>0</v>
      </c>
      <c r="D91" s="389" t="s">
        <v>8</v>
      </c>
      <c r="E91" s="389" t="s">
        <v>2</v>
      </c>
      <c r="F91" s="1162" t="s">
        <v>9</v>
      </c>
      <c r="G91" s="171"/>
      <c r="I91" s="456"/>
      <c r="J91" s="457" t="s">
        <v>44</v>
      </c>
      <c r="K91" s="458" t="s">
        <v>12</v>
      </c>
      <c r="L91" s="459">
        <v>1</v>
      </c>
      <c r="M91" s="460"/>
      <c r="N91" s="459">
        <v>0.22</v>
      </c>
      <c r="O91" s="461"/>
      <c r="P91" s="120"/>
      <c r="Q91" s="120"/>
      <c r="R91" s="120"/>
      <c r="S91" s="120"/>
      <c r="T91" s="120"/>
    </row>
    <row r="92" spans="1:20" ht="21.75" customHeight="1" thickBot="1">
      <c r="A92" s="390"/>
      <c r="B92" s="810" t="s">
        <v>396</v>
      </c>
      <c r="C92" s="391" t="s">
        <v>80</v>
      </c>
      <c r="D92" s="392">
        <v>2</v>
      </c>
      <c r="E92" s="897">
        <f>+O58</f>
        <v>0</v>
      </c>
      <c r="F92" s="899">
        <f>+ROUND(D92*E92,0)</f>
        <v>0</v>
      </c>
      <c r="G92" s="171"/>
      <c r="H92" s="91"/>
      <c r="I92" s="495" t="s">
        <v>5</v>
      </c>
      <c r="J92" s="496"/>
      <c r="K92" s="543"/>
      <c r="L92" s="543"/>
      <c r="M92" s="496"/>
      <c r="N92" s="834"/>
      <c r="O92" s="471"/>
      <c r="P92" s="121"/>
      <c r="Q92" s="120"/>
      <c r="R92" s="120"/>
      <c r="S92" s="120"/>
      <c r="T92" s="120"/>
    </row>
    <row r="93" spans="1:20" ht="20.25" customHeight="1" thickBot="1">
      <c r="A93" s="390"/>
      <c r="B93" s="1163" t="s">
        <v>82</v>
      </c>
      <c r="C93" s="393" t="s">
        <v>80</v>
      </c>
      <c r="D93" s="392">
        <v>2</v>
      </c>
      <c r="E93" s="897">
        <f>+E84</f>
        <v>0</v>
      </c>
      <c r="F93" s="899">
        <f>+ROUND(D93*E93,0)</f>
        <v>0</v>
      </c>
      <c r="G93" s="171"/>
      <c r="H93" s="91"/>
      <c r="P93" s="118"/>
      <c r="Q93" s="120"/>
      <c r="R93" s="120"/>
      <c r="S93" s="120"/>
      <c r="T93" s="120"/>
    </row>
    <row r="94" spans="1:20" ht="16.5" thickBot="1">
      <c r="A94" s="390"/>
      <c r="B94" s="1164" t="s">
        <v>135</v>
      </c>
      <c r="C94" s="391" t="s">
        <v>4</v>
      </c>
      <c r="D94" s="392">
        <f>(((0.1016*0.1016*3.1416)/4)*2*1.3)</f>
        <v>2.10790804224E-2</v>
      </c>
      <c r="E94" s="897">
        <f>+O92</f>
        <v>0</v>
      </c>
      <c r="F94" s="899">
        <f>+ROUND(D94*E94,0)</f>
        <v>0</v>
      </c>
      <c r="G94" s="171"/>
      <c r="H94" s="91"/>
      <c r="I94" s="401" t="s">
        <v>6</v>
      </c>
      <c r="J94" s="402" t="s">
        <v>7</v>
      </c>
      <c r="K94" s="463" t="s">
        <v>0</v>
      </c>
      <c r="L94" s="463" t="s">
        <v>8</v>
      </c>
      <c r="M94" s="402"/>
      <c r="N94" s="833" t="s">
        <v>387</v>
      </c>
      <c r="O94" s="403"/>
      <c r="P94" s="118"/>
      <c r="Q94" s="120"/>
      <c r="R94" s="120"/>
      <c r="S94" s="120"/>
      <c r="T94" s="120"/>
    </row>
    <row r="95" spans="1:20" ht="20.25" customHeight="1">
      <c r="A95" s="390"/>
      <c r="B95" s="1164" t="s">
        <v>83</v>
      </c>
      <c r="C95" s="391" t="s">
        <v>4</v>
      </c>
      <c r="D95" s="392">
        <f>+D94</f>
        <v>2.10790804224E-2</v>
      </c>
      <c r="E95" s="897">
        <f>+O100</f>
        <v>0</v>
      </c>
      <c r="F95" s="899">
        <f>+ROUND(D95*E95,0)</f>
        <v>0</v>
      </c>
      <c r="G95" s="171"/>
      <c r="H95" s="91"/>
      <c r="I95" s="442"/>
      <c r="J95" s="462" t="s">
        <v>83</v>
      </c>
      <c r="K95" s="449" t="s">
        <v>40</v>
      </c>
      <c r="L95" s="450"/>
      <c r="M95" s="451"/>
      <c r="N95" s="450"/>
      <c r="O95" s="453"/>
      <c r="P95" s="122"/>
      <c r="Q95" s="120"/>
      <c r="R95" s="120"/>
      <c r="S95" s="120"/>
      <c r="T95" s="120"/>
    </row>
    <row r="96" spans="1:20" ht="16.5" customHeight="1" thickBot="1">
      <c r="A96" s="394"/>
      <c r="B96" s="395"/>
      <c r="C96" s="394"/>
      <c r="D96" s="394"/>
      <c r="E96" s="394"/>
      <c r="F96" s="394"/>
      <c r="G96" s="171"/>
      <c r="H96" s="91"/>
      <c r="I96" s="464"/>
      <c r="J96" s="440" t="s">
        <v>46</v>
      </c>
      <c r="K96" s="438" t="s">
        <v>388</v>
      </c>
      <c r="L96" s="441">
        <v>13</v>
      </c>
      <c r="M96" s="414"/>
      <c r="N96" s="441"/>
      <c r="O96" s="455"/>
      <c r="P96" s="122"/>
      <c r="Q96" s="120"/>
      <c r="R96" s="120"/>
      <c r="S96" s="120"/>
      <c r="T96" s="120"/>
    </row>
    <row r="97" spans="1:23" ht="21.6" customHeight="1" thickBot="1">
      <c r="A97" s="1862" t="s">
        <v>5</v>
      </c>
      <c r="B97" s="1863"/>
      <c r="C97" s="1863"/>
      <c r="D97" s="1863"/>
      <c r="E97" s="1864"/>
      <c r="F97" s="1165">
        <f>ROUND(SUM(F92:F95),0)</f>
        <v>0</v>
      </c>
      <c r="G97" s="171"/>
      <c r="H97" s="91"/>
      <c r="I97" s="411"/>
      <c r="J97" s="417" t="s">
        <v>76</v>
      </c>
      <c r="K97" s="438" t="s">
        <v>40</v>
      </c>
      <c r="L97" s="441">
        <v>1</v>
      </c>
      <c r="M97" s="414"/>
      <c r="N97" s="441">
        <v>1</v>
      </c>
      <c r="O97" s="455"/>
      <c r="P97" s="412"/>
      <c r="Q97" s="412"/>
      <c r="R97" s="412"/>
      <c r="S97" s="412"/>
      <c r="T97" s="412"/>
    </row>
    <row r="98" spans="1:23" ht="18.600000000000001" customHeight="1">
      <c r="A98" s="1158"/>
      <c r="B98" s="1158"/>
      <c r="C98" s="1158"/>
      <c r="D98" s="1158"/>
      <c r="E98" s="1158"/>
      <c r="F98" s="558"/>
      <c r="G98" s="171"/>
      <c r="H98" s="91"/>
      <c r="I98" s="411"/>
      <c r="J98" s="417" t="s">
        <v>36</v>
      </c>
      <c r="K98" s="438" t="s">
        <v>12</v>
      </c>
      <c r="L98" s="441">
        <v>1</v>
      </c>
      <c r="M98" s="414"/>
      <c r="N98" s="441">
        <v>7.0000000000000007E-2</v>
      </c>
      <c r="O98" s="455"/>
      <c r="P98" s="93"/>
    </row>
    <row r="99" spans="1:23" ht="21" customHeight="1" thickBot="1">
      <c r="A99" s="1158"/>
      <c r="B99" s="1158"/>
      <c r="C99" s="1158"/>
      <c r="D99" s="1158"/>
      <c r="E99" s="1158"/>
      <c r="F99" s="558"/>
      <c r="G99" s="171"/>
      <c r="H99" s="91"/>
      <c r="I99" s="415"/>
      <c r="J99" s="457" t="s">
        <v>25</v>
      </c>
      <c r="K99" s="458" t="s">
        <v>14</v>
      </c>
      <c r="L99" s="459">
        <v>0.02</v>
      </c>
      <c r="M99" s="460"/>
      <c r="N99" s="459"/>
      <c r="O99" s="461"/>
      <c r="P99" s="93"/>
    </row>
    <row r="100" spans="1:23" ht="23.1" customHeight="1" thickBot="1">
      <c r="A100" s="1158"/>
      <c r="B100" s="1158"/>
      <c r="C100" s="1158"/>
      <c r="D100" s="1158"/>
      <c r="E100" s="1158"/>
      <c r="F100" s="558"/>
      <c r="G100" s="171"/>
      <c r="H100" s="91"/>
      <c r="I100" s="495" t="s">
        <v>5</v>
      </c>
      <c r="J100" s="496"/>
      <c r="K100" s="543"/>
      <c r="L100" s="543"/>
      <c r="M100" s="496"/>
      <c r="N100" s="834"/>
      <c r="O100" s="471"/>
      <c r="P100" s="93"/>
    </row>
    <row r="101" spans="1:23" ht="32.25" customHeight="1" thickBot="1">
      <c r="A101" s="973"/>
      <c r="B101" s="1792" t="s">
        <v>462</v>
      </c>
      <c r="C101" s="1793"/>
      <c r="D101" s="1793"/>
      <c r="E101" s="1794"/>
      <c r="F101" s="974" t="s">
        <v>153</v>
      </c>
      <c r="G101" s="171"/>
      <c r="P101" s="93"/>
      <c r="Q101" s="504" t="s">
        <v>6</v>
      </c>
      <c r="R101" s="463" t="s">
        <v>7</v>
      </c>
      <c r="S101" s="505" t="s">
        <v>0</v>
      </c>
      <c r="T101" s="505" t="s">
        <v>8</v>
      </c>
      <c r="U101" s="505" t="s">
        <v>2</v>
      </c>
      <c r="V101" s="506" t="s">
        <v>387</v>
      </c>
      <c r="W101" s="507" t="s">
        <v>9</v>
      </c>
    </row>
    <row r="102" spans="1:23" ht="21.75" customHeight="1" thickBot="1">
      <c r="A102" s="975" t="s">
        <v>416</v>
      </c>
      <c r="B102" s="976" t="s">
        <v>7</v>
      </c>
      <c r="C102" s="977" t="s">
        <v>0</v>
      </c>
      <c r="D102" s="977" t="s">
        <v>8</v>
      </c>
      <c r="E102" s="977" t="s">
        <v>2</v>
      </c>
      <c r="F102" s="978" t="s">
        <v>9</v>
      </c>
      <c r="G102" s="171"/>
      <c r="I102" s="504" t="s">
        <v>6</v>
      </c>
      <c r="J102" s="463" t="s">
        <v>7</v>
      </c>
      <c r="K102" s="821" t="s">
        <v>0</v>
      </c>
      <c r="L102" s="821" t="s">
        <v>8</v>
      </c>
      <c r="M102" s="505"/>
      <c r="N102" s="838" t="s">
        <v>387</v>
      </c>
      <c r="O102" s="507"/>
      <c r="Q102" s="581"/>
      <c r="R102" s="771" t="s">
        <v>81</v>
      </c>
      <c r="S102" s="540" t="s">
        <v>23</v>
      </c>
      <c r="T102" s="486"/>
      <c r="U102" s="585"/>
      <c r="V102" s="540"/>
      <c r="W102" s="766"/>
    </row>
    <row r="103" spans="1:23" ht="21" customHeight="1">
      <c r="A103" s="989"/>
      <c r="B103" s="990" t="s">
        <v>79</v>
      </c>
      <c r="C103" s="991" t="s">
        <v>80</v>
      </c>
      <c r="D103" s="992">
        <v>4</v>
      </c>
      <c r="E103" s="993">
        <f>+O85</f>
        <v>0</v>
      </c>
      <c r="F103" s="994">
        <f>+ROUND(D103*E103,0)</f>
        <v>0</v>
      </c>
      <c r="G103" s="171"/>
      <c r="I103" s="442"/>
      <c r="J103" s="405" t="s">
        <v>81</v>
      </c>
      <c r="K103" s="404"/>
      <c r="L103" s="449"/>
      <c r="M103" s="508"/>
      <c r="N103" s="449"/>
      <c r="O103" s="509"/>
      <c r="Q103" s="582"/>
      <c r="R103" s="769" t="s">
        <v>81</v>
      </c>
      <c r="S103" s="583" t="s">
        <v>23</v>
      </c>
      <c r="T103" s="482">
        <v>1</v>
      </c>
      <c r="U103" s="414"/>
      <c r="V103" s="583"/>
      <c r="W103" s="455"/>
    </row>
    <row r="104" spans="1:23" ht="33.75" customHeight="1">
      <c r="A104" s="995"/>
      <c r="B104" s="980" t="s">
        <v>130</v>
      </c>
      <c r="C104" s="996" t="s">
        <v>80</v>
      </c>
      <c r="D104" s="997">
        <v>2</v>
      </c>
      <c r="E104" s="983">
        <f>+O77</f>
        <v>0</v>
      </c>
      <c r="F104" s="994">
        <f t="shared" ref="F104:F112" si="2">+ROUND(D104*E104,0)</f>
        <v>0</v>
      </c>
      <c r="G104" s="171"/>
      <c r="I104" s="411"/>
      <c r="J104" s="417" t="s">
        <v>81</v>
      </c>
      <c r="K104" s="413" t="s">
        <v>23</v>
      </c>
      <c r="L104" s="441">
        <v>1</v>
      </c>
      <c r="M104" s="501"/>
      <c r="N104" s="438"/>
      <c r="O104" s="500"/>
      <c r="Q104" s="582"/>
      <c r="R104" s="769" t="s">
        <v>24</v>
      </c>
      <c r="S104" s="583" t="s">
        <v>12</v>
      </c>
      <c r="T104" s="482">
        <v>1</v>
      </c>
      <c r="U104" s="414"/>
      <c r="V104" s="583">
        <v>0.2</v>
      </c>
      <c r="W104" s="455"/>
    </row>
    <row r="105" spans="1:23" ht="27" customHeight="1" thickBot="1">
      <c r="A105" s="998"/>
      <c r="B105" s="999" t="s">
        <v>159</v>
      </c>
      <c r="C105" s="996" t="s">
        <v>80</v>
      </c>
      <c r="D105" s="997">
        <v>4.2</v>
      </c>
      <c r="E105" s="983">
        <f>+O166</f>
        <v>0</v>
      </c>
      <c r="F105" s="994">
        <f t="shared" si="2"/>
        <v>0</v>
      </c>
      <c r="G105" s="171"/>
      <c r="I105" s="411"/>
      <c r="J105" s="417" t="s">
        <v>24</v>
      </c>
      <c r="K105" s="514" t="s">
        <v>12</v>
      </c>
      <c r="L105" s="441">
        <v>1</v>
      </c>
      <c r="M105" s="501"/>
      <c r="N105" s="438">
        <v>0.2</v>
      </c>
      <c r="O105" s="500"/>
      <c r="Q105" s="584"/>
      <c r="R105" s="770" t="s">
        <v>25</v>
      </c>
      <c r="S105" s="542" t="s">
        <v>14</v>
      </c>
      <c r="T105" s="491">
        <v>0.1</v>
      </c>
      <c r="U105" s="460"/>
      <c r="V105" s="542"/>
      <c r="W105" s="461"/>
    </row>
    <row r="106" spans="1:23" ht="21" customHeight="1" thickBot="1">
      <c r="A106" s="995"/>
      <c r="B106" s="999" t="s">
        <v>160</v>
      </c>
      <c r="C106" s="981" t="s">
        <v>3</v>
      </c>
      <c r="D106" s="997">
        <v>1.2</v>
      </c>
      <c r="E106" s="983">
        <f>+O174</f>
        <v>0</v>
      </c>
      <c r="F106" s="994">
        <f t="shared" si="2"/>
        <v>0</v>
      </c>
      <c r="G106" s="171"/>
      <c r="I106" s="415"/>
      <c r="J106" s="457" t="s">
        <v>25</v>
      </c>
      <c r="K106" s="514" t="s">
        <v>14</v>
      </c>
      <c r="L106" s="458">
        <v>0.1</v>
      </c>
      <c r="M106" s="502"/>
      <c r="N106" s="458"/>
      <c r="O106" s="503"/>
      <c r="Q106" s="643" t="s">
        <v>5</v>
      </c>
      <c r="R106" s="644"/>
      <c r="S106" s="644"/>
      <c r="T106" s="644"/>
      <c r="U106" s="644"/>
      <c r="V106" s="645"/>
      <c r="W106" s="646"/>
    </row>
    <row r="107" spans="1:23" ht="16.5" thickBot="1">
      <c r="A107" s="995"/>
      <c r="B107" s="1000" t="s">
        <v>135</v>
      </c>
      <c r="C107" s="996" t="s">
        <v>4</v>
      </c>
      <c r="D107" s="997">
        <f>+D106*0.12*1.1</f>
        <v>0.15840000000000001</v>
      </c>
      <c r="E107" s="983">
        <f>+O92</f>
        <v>0</v>
      </c>
      <c r="F107" s="994">
        <f t="shared" si="2"/>
        <v>0</v>
      </c>
      <c r="G107" s="171"/>
      <c r="I107" s="495" t="s">
        <v>5</v>
      </c>
      <c r="J107" s="496"/>
      <c r="K107" s="543"/>
      <c r="L107" s="543"/>
      <c r="M107" s="496"/>
      <c r="N107" s="834"/>
      <c r="O107" s="471"/>
    </row>
    <row r="108" spans="1:23" ht="15.75">
      <c r="A108" s="998"/>
      <c r="B108" s="1000" t="s">
        <v>83</v>
      </c>
      <c r="C108" s="996" t="s">
        <v>4</v>
      </c>
      <c r="D108" s="997">
        <f>+D107</f>
        <v>0.15840000000000001</v>
      </c>
      <c r="E108" s="983">
        <f>+O100</f>
        <v>0</v>
      </c>
      <c r="F108" s="994">
        <f t="shared" si="2"/>
        <v>0</v>
      </c>
      <c r="G108" s="171"/>
      <c r="I108" s="946"/>
      <c r="J108" s="946"/>
      <c r="K108" s="559"/>
      <c r="L108" s="559"/>
      <c r="M108" s="946"/>
      <c r="N108" s="559"/>
      <c r="O108" s="561"/>
    </row>
    <row r="109" spans="1:23" ht="15.75" thickBot="1">
      <c r="A109" s="995"/>
      <c r="B109" s="1000" t="s">
        <v>251</v>
      </c>
      <c r="C109" s="996" t="s">
        <v>63</v>
      </c>
      <c r="D109" s="997">
        <v>20.5</v>
      </c>
      <c r="E109" s="983">
        <f>O183</f>
        <v>0</v>
      </c>
      <c r="F109" s="994">
        <f t="shared" si="2"/>
        <v>0</v>
      </c>
      <c r="G109" s="171"/>
    </row>
    <row r="110" spans="1:23" ht="16.5" thickBot="1">
      <c r="A110" s="998"/>
      <c r="B110" s="1001" t="s">
        <v>84</v>
      </c>
      <c r="C110" s="981" t="s">
        <v>3</v>
      </c>
      <c r="D110" s="1002">
        <v>1.2</v>
      </c>
      <c r="E110" s="983">
        <f>+O140</f>
        <v>0</v>
      </c>
      <c r="F110" s="994">
        <f t="shared" si="2"/>
        <v>0</v>
      </c>
      <c r="G110" s="171"/>
      <c r="I110" s="401" t="s">
        <v>6</v>
      </c>
      <c r="J110" s="402" t="s">
        <v>7</v>
      </c>
      <c r="K110" s="832" t="s">
        <v>0</v>
      </c>
      <c r="L110" s="463" t="s">
        <v>8</v>
      </c>
      <c r="M110" s="402"/>
      <c r="N110" s="833" t="s">
        <v>387</v>
      </c>
      <c r="O110" s="403"/>
    </row>
    <row r="111" spans="1:23" ht="15.75">
      <c r="A111" s="995"/>
      <c r="B111" s="1000" t="s">
        <v>141</v>
      </c>
      <c r="C111" s="996" t="s">
        <v>4</v>
      </c>
      <c r="D111" s="997">
        <f>((1.2*1.2*0.12)-(0.3*0.3*3.1416*0.12))</f>
        <v>0.13887071999999998</v>
      </c>
      <c r="E111" s="983">
        <f>+O128</f>
        <v>0</v>
      </c>
      <c r="F111" s="994">
        <f t="shared" si="2"/>
        <v>0</v>
      </c>
      <c r="G111" s="171"/>
      <c r="I111" s="410"/>
      <c r="J111" s="478" t="s">
        <v>170</v>
      </c>
      <c r="K111" s="420" t="s">
        <v>40</v>
      </c>
      <c r="L111" s="545"/>
      <c r="M111" s="487"/>
      <c r="N111" s="488"/>
      <c r="O111" s="510"/>
    </row>
    <row r="112" spans="1:23" ht="33.75" customHeight="1">
      <c r="A112" s="998"/>
      <c r="B112" s="1003" t="s">
        <v>402</v>
      </c>
      <c r="C112" s="996" t="s">
        <v>0</v>
      </c>
      <c r="D112" s="997">
        <v>1</v>
      </c>
      <c r="E112" s="1004">
        <f>+E126</f>
        <v>0</v>
      </c>
      <c r="F112" s="994">
        <f t="shared" si="2"/>
        <v>0</v>
      </c>
      <c r="G112" s="171"/>
      <c r="I112" s="411"/>
      <c r="J112" s="418" t="s">
        <v>36</v>
      </c>
      <c r="K112" s="421" t="s">
        <v>12</v>
      </c>
      <c r="L112" s="498">
        <v>1</v>
      </c>
      <c r="M112" s="483"/>
      <c r="N112" s="484">
        <v>0.5</v>
      </c>
      <c r="O112" s="490"/>
    </row>
    <row r="113" spans="1:23" ht="15.75" customHeight="1" thickBot="1">
      <c r="A113" s="1849" t="s">
        <v>5</v>
      </c>
      <c r="B113" s="1850"/>
      <c r="C113" s="1850"/>
      <c r="D113" s="1850"/>
      <c r="E113" s="1851"/>
      <c r="F113" s="1005">
        <f>ROUND(SUM(F103:F112)-0.02,0)</f>
        <v>0</v>
      </c>
      <c r="G113" s="171"/>
      <c r="I113" s="411"/>
      <c r="J113" s="418" t="s">
        <v>15</v>
      </c>
      <c r="K113" s="421" t="s">
        <v>14</v>
      </c>
      <c r="L113" s="498">
        <v>0.1</v>
      </c>
      <c r="M113" s="483"/>
      <c r="N113" s="484"/>
      <c r="O113" s="490"/>
    </row>
    <row r="114" spans="1:23" ht="22.5" customHeight="1" thickBot="1">
      <c r="A114" s="956"/>
      <c r="B114" s="956"/>
      <c r="C114" s="956"/>
      <c r="D114" s="956"/>
      <c r="E114" s="956"/>
      <c r="F114" s="950"/>
      <c r="G114" s="171"/>
      <c r="I114" s="415"/>
      <c r="J114" s="419" t="s">
        <v>25</v>
      </c>
      <c r="K114" s="426" t="s">
        <v>14</v>
      </c>
      <c r="L114" s="499">
        <v>0.15</v>
      </c>
      <c r="M114" s="492"/>
      <c r="N114" s="493"/>
      <c r="O114" s="494"/>
    </row>
    <row r="115" spans="1:23" ht="29.25" customHeight="1" thickBot="1">
      <c r="A115" s="973"/>
      <c r="B115" s="1792" t="s">
        <v>463</v>
      </c>
      <c r="C115" s="1793"/>
      <c r="D115" s="1793"/>
      <c r="E115" s="1794"/>
      <c r="F115" s="974" t="s">
        <v>153</v>
      </c>
      <c r="G115" s="171"/>
      <c r="I115" s="495" t="s">
        <v>5</v>
      </c>
      <c r="J115" s="496"/>
      <c r="K115" s="543"/>
      <c r="L115" s="543"/>
      <c r="M115" s="496"/>
      <c r="N115" s="834"/>
      <c r="O115" s="471"/>
    </row>
    <row r="116" spans="1:23" ht="16.5" customHeight="1" thickBot="1">
      <c r="A116" s="975" t="s">
        <v>417</v>
      </c>
      <c r="B116" s="976" t="s">
        <v>7</v>
      </c>
      <c r="C116" s="977" t="s">
        <v>0</v>
      </c>
      <c r="D116" s="977" t="s">
        <v>8</v>
      </c>
      <c r="E116" s="977" t="s">
        <v>2</v>
      </c>
      <c r="F116" s="978" t="s">
        <v>9</v>
      </c>
      <c r="G116" s="171"/>
    </row>
    <row r="117" spans="1:23" ht="20.25" customHeight="1" thickBot="1">
      <c r="A117" s="989"/>
      <c r="B117" s="990" t="s">
        <v>79</v>
      </c>
      <c r="C117" s="991" t="s">
        <v>80</v>
      </c>
      <c r="D117" s="992">
        <v>4</v>
      </c>
      <c r="E117" s="993">
        <f>+E103</f>
        <v>0</v>
      </c>
      <c r="F117" s="994">
        <f>+ROUND(D117*E117,0)</f>
        <v>0</v>
      </c>
      <c r="G117" s="171"/>
      <c r="I117" s="406" t="s">
        <v>6</v>
      </c>
      <c r="J117" s="407" t="s">
        <v>7</v>
      </c>
      <c r="K117" s="439" t="s">
        <v>0</v>
      </c>
      <c r="L117" s="439" t="s">
        <v>8</v>
      </c>
      <c r="M117" s="407"/>
      <c r="N117" s="839" t="s">
        <v>387</v>
      </c>
      <c r="O117" s="409"/>
      <c r="Q117" s="406" t="s">
        <v>6</v>
      </c>
      <c r="R117" s="407" t="s">
        <v>7</v>
      </c>
      <c r="S117" s="407" t="s">
        <v>0</v>
      </c>
      <c r="T117" s="407" t="s">
        <v>8</v>
      </c>
      <c r="U117" s="407" t="s">
        <v>2</v>
      </c>
      <c r="V117" s="408" t="s">
        <v>387</v>
      </c>
      <c r="W117" s="409" t="s">
        <v>9</v>
      </c>
    </row>
    <row r="118" spans="1:23" ht="25.5" customHeight="1">
      <c r="A118" s="995"/>
      <c r="B118" s="980" t="s">
        <v>130</v>
      </c>
      <c r="C118" s="996" t="s">
        <v>80</v>
      </c>
      <c r="D118" s="997">
        <v>2</v>
      </c>
      <c r="E118" s="983">
        <f>+E104</f>
        <v>0</v>
      </c>
      <c r="F118" s="994">
        <f t="shared" ref="F118:F126" si="3">+ROUND(D118*E118,0)</f>
        <v>0</v>
      </c>
      <c r="G118" s="171"/>
      <c r="I118" s="511"/>
      <c r="J118" s="951" t="s">
        <v>141</v>
      </c>
      <c r="K118" s="522" t="s">
        <v>40</v>
      </c>
      <c r="L118" s="523"/>
      <c r="M118" s="524"/>
      <c r="N118" s="840"/>
      <c r="O118" s="526"/>
      <c r="Q118" s="511"/>
      <c r="R118" s="521" t="s">
        <v>456</v>
      </c>
      <c r="S118" s="522" t="s">
        <v>40</v>
      </c>
      <c r="T118" s="523"/>
      <c r="U118" s="524"/>
      <c r="V118" s="525"/>
      <c r="W118" s="526"/>
    </row>
    <row r="119" spans="1:23" ht="29.25" customHeight="1">
      <c r="A119" s="996"/>
      <c r="B119" s="1001" t="s">
        <v>133</v>
      </c>
      <c r="C119" s="1006" t="s">
        <v>3</v>
      </c>
      <c r="D119" s="1007">
        <f>0.48+0.4</f>
        <v>0.88</v>
      </c>
      <c r="E119" s="1008">
        <f>+G466</f>
        <v>0</v>
      </c>
      <c r="F119" s="994">
        <f>+ROUND(D119*E119,0)</f>
        <v>0</v>
      </c>
      <c r="G119" s="171"/>
      <c r="I119" s="512"/>
      <c r="J119" s="819" t="s">
        <v>26</v>
      </c>
      <c r="K119" s="514" t="s">
        <v>27</v>
      </c>
      <c r="L119" s="515">
        <v>7</v>
      </c>
      <c r="M119" s="516"/>
      <c r="N119" s="517">
        <v>1.03</v>
      </c>
      <c r="O119" s="518"/>
      <c r="Q119" s="512"/>
      <c r="R119" s="819" t="s">
        <v>26</v>
      </c>
      <c r="S119" s="514" t="s">
        <v>27</v>
      </c>
      <c r="T119" s="515">
        <v>7</v>
      </c>
      <c r="U119" s="516"/>
      <c r="V119" s="517">
        <v>1.03</v>
      </c>
      <c r="W119" s="518"/>
    </row>
    <row r="120" spans="1:23">
      <c r="A120" s="995"/>
      <c r="B120" s="999" t="s">
        <v>170</v>
      </c>
      <c r="C120" s="981" t="s">
        <v>4</v>
      </c>
      <c r="D120" s="997">
        <f>1.2*1*0.1</f>
        <v>0.12</v>
      </c>
      <c r="E120" s="983">
        <f>+O115</f>
        <v>0</v>
      </c>
      <c r="F120" s="994">
        <f t="shared" si="3"/>
        <v>0</v>
      </c>
      <c r="G120" s="171"/>
      <c r="I120" s="512"/>
      <c r="J120" s="513" t="s">
        <v>28</v>
      </c>
      <c r="K120" s="514" t="s">
        <v>40</v>
      </c>
      <c r="L120" s="515">
        <v>0.55000000000000004</v>
      </c>
      <c r="M120" s="516"/>
      <c r="N120" s="517">
        <v>1.03</v>
      </c>
      <c r="O120" s="518"/>
      <c r="Q120" s="512"/>
      <c r="R120" s="513" t="s">
        <v>28</v>
      </c>
      <c r="S120" s="514" t="s">
        <v>40</v>
      </c>
      <c r="T120" s="515">
        <v>0.55000000000000004</v>
      </c>
      <c r="U120" s="516"/>
      <c r="V120" s="517">
        <v>1.03</v>
      </c>
      <c r="W120" s="518"/>
    </row>
    <row r="121" spans="1:23">
      <c r="A121" s="995"/>
      <c r="B121" s="1000" t="s">
        <v>135</v>
      </c>
      <c r="C121" s="996" t="s">
        <v>4</v>
      </c>
      <c r="D121" s="997">
        <f>+D120*0.12*1.1</f>
        <v>1.584E-2</v>
      </c>
      <c r="E121" s="983">
        <f t="shared" ref="E121:E125" si="4">+E107</f>
        <v>0</v>
      </c>
      <c r="F121" s="994">
        <f>+ROUND(D121*E121,0)</f>
        <v>0</v>
      </c>
      <c r="G121" s="171"/>
      <c r="I121" s="512"/>
      <c r="J121" s="513" t="s">
        <v>390</v>
      </c>
      <c r="K121" s="514" t="s">
        <v>40</v>
      </c>
      <c r="L121" s="515">
        <v>0.84</v>
      </c>
      <c r="M121" s="516"/>
      <c r="N121" s="517">
        <v>1.03</v>
      </c>
      <c r="O121" s="518"/>
      <c r="Q121" s="512"/>
      <c r="R121" s="513" t="s">
        <v>390</v>
      </c>
      <c r="S121" s="514" t="s">
        <v>40</v>
      </c>
      <c r="T121" s="515">
        <v>0.84</v>
      </c>
      <c r="U121" s="516"/>
      <c r="V121" s="517">
        <v>1.03</v>
      </c>
      <c r="W121" s="518"/>
    </row>
    <row r="122" spans="1:23">
      <c r="A122" s="998"/>
      <c r="B122" s="1000" t="s">
        <v>83</v>
      </c>
      <c r="C122" s="996" t="s">
        <v>4</v>
      </c>
      <c r="D122" s="997">
        <f>+D121</f>
        <v>1.584E-2</v>
      </c>
      <c r="E122" s="983">
        <f t="shared" si="4"/>
        <v>0</v>
      </c>
      <c r="F122" s="994">
        <f t="shared" si="3"/>
        <v>0</v>
      </c>
      <c r="G122" s="171"/>
      <c r="I122" s="512"/>
      <c r="J122" s="513" t="s">
        <v>41</v>
      </c>
      <c r="K122" s="514" t="s">
        <v>29</v>
      </c>
      <c r="L122" s="515">
        <v>180</v>
      </c>
      <c r="M122" s="516"/>
      <c r="N122" s="517">
        <v>1.03</v>
      </c>
      <c r="O122" s="518"/>
      <c r="P122" s="120"/>
      <c r="Q122" s="512"/>
      <c r="R122" s="513" t="s">
        <v>41</v>
      </c>
      <c r="S122" s="514" t="s">
        <v>29</v>
      </c>
      <c r="T122" s="515">
        <v>180</v>
      </c>
      <c r="U122" s="516"/>
      <c r="V122" s="517">
        <v>1.03</v>
      </c>
      <c r="W122" s="518"/>
    </row>
    <row r="123" spans="1:23">
      <c r="A123" s="995"/>
      <c r="B123" s="1000" t="s">
        <v>251</v>
      </c>
      <c r="C123" s="996" t="s">
        <v>63</v>
      </c>
      <c r="D123" s="997">
        <v>20.5</v>
      </c>
      <c r="E123" s="983">
        <f t="shared" si="4"/>
        <v>0</v>
      </c>
      <c r="F123" s="994">
        <f t="shared" si="3"/>
        <v>0</v>
      </c>
      <c r="G123" s="171"/>
      <c r="I123" s="512"/>
      <c r="J123" s="513" t="s">
        <v>73</v>
      </c>
      <c r="K123" s="514" t="s">
        <v>18</v>
      </c>
      <c r="L123" s="515">
        <f>1.5*7</f>
        <v>10.5</v>
      </c>
      <c r="M123" s="516"/>
      <c r="N123" s="517">
        <v>1.03</v>
      </c>
      <c r="O123" s="518"/>
      <c r="Q123" s="512"/>
      <c r="R123" s="513"/>
      <c r="S123" s="514"/>
      <c r="T123" s="515"/>
      <c r="U123" s="516"/>
      <c r="V123" s="517"/>
      <c r="W123" s="518"/>
    </row>
    <row r="124" spans="1:23">
      <c r="A124" s="998"/>
      <c r="B124" s="1001" t="s">
        <v>84</v>
      </c>
      <c r="C124" s="981" t="s">
        <v>3</v>
      </c>
      <c r="D124" s="1002">
        <v>1.2</v>
      </c>
      <c r="E124" s="983">
        <f t="shared" si="4"/>
        <v>0</v>
      </c>
      <c r="F124" s="994">
        <f t="shared" si="3"/>
        <v>0</v>
      </c>
      <c r="G124" s="171"/>
      <c r="I124" s="512"/>
      <c r="J124" s="513" t="s">
        <v>35</v>
      </c>
      <c r="K124" s="514" t="s">
        <v>12</v>
      </c>
      <c r="L124" s="515">
        <v>1</v>
      </c>
      <c r="M124" s="516"/>
      <c r="N124" s="517">
        <f>1/8</f>
        <v>0.125</v>
      </c>
      <c r="O124" s="518"/>
      <c r="Q124" s="512"/>
      <c r="R124" s="513" t="s">
        <v>35</v>
      </c>
      <c r="S124" s="514" t="s">
        <v>12</v>
      </c>
      <c r="T124" s="515">
        <v>1</v>
      </c>
      <c r="U124" s="516"/>
      <c r="V124" s="517">
        <f>1/8</f>
        <v>0.125</v>
      </c>
      <c r="W124" s="518"/>
    </row>
    <row r="125" spans="1:23" ht="28.5" customHeight="1">
      <c r="A125" s="995"/>
      <c r="B125" s="1000" t="s">
        <v>141</v>
      </c>
      <c r="C125" s="996" t="s">
        <v>4</v>
      </c>
      <c r="D125" s="997">
        <f>((1.2*1.2*0.12)-(0.3*0.3*3.1416*0.12))</f>
        <v>0.13887071999999998</v>
      </c>
      <c r="E125" s="983">
        <f t="shared" si="4"/>
        <v>0</v>
      </c>
      <c r="F125" s="994">
        <f t="shared" si="3"/>
        <v>0</v>
      </c>
      <c r="G125" s="171"/>
      <c r="I125" s="512"/>
      <c r="J125" s="513" t="s">
        <v>25</v>
      </c>
      <c r="K125" s="514" t="s">
        <v>14</v>
      </c>
      <c r="L125" s="515">
        <v>0.1</v>
      </c>
      <c r="M125" s="516"/>
      <c r="N125" s="517"/>
      <c r="O125" s="518"/>
      <c r="Q125" s="512"/>
      <c r="R125" s="513" t="s">
        <v>25</v>
      </c>
      <c r="S125" s="514" t="s">
        <v>14</v>
      </c>
      <c r="T125" s="515">
        <v>0.1</v>
      </c>
      <c r="U125" s="516"/>
      <c r="V125" s="517"/>
      <c r="W125" s="518"/>
    </row>
    <row r="126" spans="1:23" ht="30.75" customHeight="1">
      <c r="A126" s="998"/>
      <c r="B126" s="1003" t="s">
        <v>402</v>
      </c>
      <c r="C126" s="996" t="s">
        <v>0</v>
      </c>
      <c r="D126" s="997">
        <v>1</v>
      </c>
      <c r="E126" s="1004">
        <f>+O229</f>
        <v>0</v>
      </c>
      <c r="F126" s="994">
        <f t="shared" si="3"/>
        <v>0</v>
      </c>
      <c r="G126" s="171"/>
      <c r="H126" s="91"/>
      <c r="I126" s="512"/>
      <c r="J126" s="513" t="s">
        <v>42</v>
      </c>
      <c r="K126" s="514" t="s">
        <v>12</v>
      </c>
      <c r="L126" s="515">
        <v>1</v>
      </c>
      <c r="M126" s="516"/>
      <c r="N126" s="517">
        <v>0.3</v>
      </c>
      <c r="O126" s="518"/>
      <c r="P126" s="120"/>
      <c r="Q126" s="512"/>
      <c r="R126" s="513" t="s">
        <v>42</v>
      </c>
      <c r="S126" s="514" t="s">
        <v>12</v>
      </c>
      <c r="T126" s="515">
        <v>1</v>
      </c>
      <c r="U126" s="516"/>
      <c r="V126" s="517">
        <v>0.3</v>
      </c>
      <c r="W126" s="518"/>
    </row>
    <row r="127" spans="1:23" s="346" customFormat="1" ht="23.45" customHeight="1" thickBot="1">
      <c r="A127" s="996"/>
      <c r="B127" s="1000" t="s">
        <v>142</v>
      </c>
      <c r="C127" s="1006" t="s">
        <v>3</v>
      </c>
      <c r="D127" s="1007">
        <f>+D119</f>
        <v>0.88</v>
      </c>
      <c r="E127" s="1004">
        <f>+G475</f>
        <v>0</v>
      </c>
      <c r="F127" s="994">
        <f>+ROUND(D127*E127,0)</f>
        <v>0</v>
      </c>
      <c r="G127" s="171"/>
      <c r="H127" s="91"/>
      <c r="I127" s="778"/>
      <c r="J127" s="779" t="s">
        <v>21</v>
      </c>
      <c r="K127" s="780" t="s">
        <v>23</v>
      </c>
      <c r="L127" s="427">
        <v>0.5</v>
      </c>
      <c r="M127" s="781"/>
      <c r="N127" s="782">
        <v>0</v>
      </c>
      <c r="O127" s="429"/>
      <c r="P127" s="121"/>
      <c r="Q127" s="778"/>
      <c r="R127" s="779" t="s">
        <v>21</v>
      </c>
      <c r="S127" s="780" t="s">
        <v>23</v>
      </c>
      <c r="T127" s="427">
        <v>0.5</v>
      </c>
      <c r="U127" s="781"/>
      <c r="V127" s="782">
        <v>0</v>
      </c>
      <c r="W127" s="429"/>
    </row>
    <row r="128" spans="1:23" ht="21.75" customHeight="1" thickBot="1">
      <c r="A128" s="1849" t="s">
        <v>5</v>
      </c>
      <c r="B128" s="1850"/>
      <c r="C128" s="1850"/>
      <c r="D128" s="1850"/>
      <c r="E128" s="1851"/>
      <c r="F128" s="1005">
        <f>ROUND(SUM(F117:F127)-0.02,0)</f>
        <v>0</v>
      </c>
      <c r="G128" s="171"/>
      <c r="H128" s="91"/>
      <c r="I128" s="495" t="s">
        <v>5</v>
      </c>
      <c r="J128" s="496"/>
      <c r="K128" s="543"/>
      <c r="L128" s="543"/>
      <c r="M128" s="496"/>
      <c r="N128" s="834"/>
      <c r="O128" s="471"/>
      <c r="P128" s="118"/>
      <c r="Q128" s="495" t="s">
        <v>5</v>
      </c>
      <c r="R128" s="496"/>
      <c r="S128" s="496"/>
      <c r="T128" s="543"/>
      <c r="U128" s="496"/>
      <c r="V128" s="497"/>
      <c r="W128" s="471"/>
    </row>
    <row r="129" spans="1:26" ht="20.25" customHeight="1" thickBot="1">
      <c r="A129" s="1159"/>
      <c r="B129" s="1159"/>
      <c r="C129" s="1159"/>
      <c r="D129" s="1159"/>
      <c r="E129" s="1159"/>
      <c r="F129" s="950"/>
      <c r="G129" s="171"/>
      <c r="P129" s="122"/>
    </row>
    <row r="130" spans="1:26" ht="34.5" customHeight="1" thickBot="1">
      <c r="A130" s="1161"/>
      <c r="B130" s="1872" t="s">
        <v>472</v>
      </c>
      <c r="C130" s="1873"/>
      <c r="D130" s="1873"/>
      <c r="E130" s="1874"/>
      <c r="F130" s="386" t="s">
        <v>153</v>
      </c>
      <c r="G130" s="171"/>
      <c r="I130" s="406" t="s">
        <v>6</v>
      </c>
      <c r="J130" s="407" t="s">
        <v>7</v>
      </c>
      <c r="K130" s="439" t="s">
        <v>0</v>
      </c>
      <c r="L130" s="439" t="s">
        <v>8</v>
      </c>
      <c r="M130" s="407"/>
      <c r="N130" s="839" t="s">
        <v>387</v>
      </c>
      <c r="O130" s="409"/>
      <c r="P130" s="122"/>
    </row>
    <row r="131" spans="1:26" s="73" customFormat="1" ht="18" customHeight="1" thickBot="1">
      <c r="A131" s="387" t="s">
        <v>418</v>
      </c>
      <c r="B131" s="388" t="s">
        <v>7</v>
      </c>
      <c r="C131" s="389" t="s">
        <v>0</v>
      </c>
      <c r="D131" s="389" t="s">
        <v>8</v>
      </c>
      <c r="E131" s="389" t="s">
        <v>2</v>
      </c>
      <c r="F131" s="1162" t="s">
        <v>9</v>
      </c>
      <c r="G131" s="171"/>
      <c r="H131" s="559"/>
      <c r="I131" s="535"/>
      <c r="J131" s="532" t="s">
        <v>84</v>
      </c>
      <c r="K131" s="420" t="s">
        <v>22</v>
      </c>
      <c r="L131" s="544"/>
      <c r="M131" s="533"/>
      <c r="N131" s="420"/>
      <c r="O131" s="534"/>
      <c r="P131" s="122"/>
      <c r="X131" s="80"/>
      <c r="Y131" s="80"/>
      <c r="Z131" s="80"/>
    </row>
    <row r="132" spans="1:26" s="73" customFormat="1" ht="24" customHeight="1">
      <c r="A132" s="1166"/>
      <c r="B132" s="1167" t="s">
        <v>79</v>
      </c>
      <c r="C132" s="1168" t="s">
        <v>80</v>
      </c>
      <c r="D132" s="1169">
        <v>4</v>
      </c>
      <c r="E132" s="1170">
        <f>+O85</f>
        <v>0</v>
      </c>
      <c r="F132" s="898">
        <f>+ROUND(D132*E132,0)</f>
        <v>0</v>
      </c>
      <c r="G132" s="171"/>
      <c r="H132" s="560"/>
      <c r="I132" s="527"/>
      <c r="J132" s="530" t="s">
        <v>49</v>
      </c>
      <c r="K132" s="421" t="s">
        <v>31</v>
      </c>
      <c r="L132" s="422">
        <v>2</v>
      </c>
      <c r="M132" s="423"/>
      <c r="N132" s="421"/>
      <c r="O132" s="424"/>
      <c r="P132" s="122"/>
      <c r="X132" s="80"/>
      <c r="Y132" s="80"/>
      <c r="Z132" s="80"/>
    </row>
    <row r="133" spans="1:26" ht="33" customHeight="1">
      <c r="A133" s="563"/>
      <c r="B133" s="810" t="s">
        <v>130</v>
      </c>
      <c r="C133" s="398" t="s">
        <v>80</v>
      </c>
      <c r="D133" s="399">
        <v>2</v>
      </c>
      <c r="E133" s="897">
        <f>+O77</f>
        <v>0</v>
      </c>
      <c r="F133" s="898">
        <f t="shared" ref="F133" si="5">+ROUND(D133*E133,0)</f>
        <v>0</v>
      </c>
      <c r="G133" s="171"/>
      <c r="H133" s="474"/>
      <c r="I133" s="527"/>
      <c r="J133" s="530" t="s">
        <v>54</v>
      </c>
      <c r="K133" s="421" t="s">
        <v>11</v>
      </c>
      <c r="L133" s="422">
        <v>0.25</v>
      </c>
      <c r="M133" s="423"/>
      <c r="N133" s="421"/>
      <c r="O133" s="424"/>
      <c r="P133" s="122"/>
    </row>
    <row r="134" spans="1:26" s="73" customFormat="1" ht="19.5" customHeight="1">
      <c r="A134" s="398"/>
      <c r="B134" s="1171" t="s">
        <v>133</v>
      </c>
      <c r="C134" s="657" t="s">
        <v>3</v>
      </c>
      <c r="D134" s="786">
        <f>0.48+0.4</f>
        <v>0.88</v>
      </c>
      <c r="E134" s="902">
        <f>+G466</f>
        <v>0</v>
      </c>
      <c r="F134" s="898">
        <f>+ROUND(D134*E134,0)</f>
        <v>0</v>
      </c>
      <c r="G134" s="171"/>
      <c r="H134" s="474"/>
      <c r="I134" s="536"/>
      <c r="J134" s="530" t="s">
        <v>19</v>
      </c>
      <c r="K134" s="421" t="s">
        <v>10</v>
      </c>
      <c r="L134" s="422">
        <v>0.1</v>
      </c>
      <c r="M134" s="423"/>
      <c r="N134" s="421"/>
      <c r="O134" s="424"/>
      <c r="P134" s="122"/>
      <c r="X134" s="80"/>
      <c r="Y134" s="80"/>
      <c r="Z134" s="80"/>
    </row>
    <row r="135" spans="1:26" ht="19.5" customHeight="1">
      <c r="A135" s="563"/>
      <c r="B135" s="1172" t="s">
        <v>170</v>
      </c>
      <c r="C135" s="391" t="s">
        <v>4</v>
      </c>
      <c r="D135" s="399">
        <f>1.2*1*0.1</f>
        <v>0.12</v>
      </c>
      <c r="E135" s="897">
        <f>+O115</f>
        <v>0</v>
      </c>
      <c r="F135" s="898">
        <f t="shared" ref="F135" si="6">+ROUND(D135*E135,0)</f>
        <v>0</v>
      </c>
      <c r="G135" s="171"/>
      <c r="H135" s="474"/>
      <c r="I135" s="527"/>
      <c r="J135" s="530" t="s">
        <v>60</v>
      </c>
      <c r="K135" s="421" t="s">
        <v>31</v>
      </c>
      <c r="L135" s="422">
        <v>1</v>
      </c>
      <c r="M135" s="423"/>
      <c r="N135" s="421">
        <v>1.03</v>
      </c>
      <c r="O135" s="424"/>
      <c r="P135" s="122"/>
    </row>
    <row r="136" spans="1:26" ht="17.25" customHeight="1">
      <c r="A136" s="563"/>
      <c r="B136" s="348" t="s">
        <v>135</v>
      </c>
      <c r="C136" s="398" t="s">
        <v>4</v>
      </c>
      <c r="D136" s="399">
        <f>+D135*0.12*1.1</f>
        <v>1.584E-2</v>
      </c>
      <c r="E136" s="897">
        <f>+O92</f>
        <v>0</v>
      </c>
      <c r="F136" s="898">
        <f>+ROUND(D136*E136,0)</f>
        <v>0</v>
      </c>
      <c r="G136" s="171"/>
      <c r="H136" s="561"/>
      <c r="I136" s="527"/>
      <c r="J136" s="530" t="s">
        <v>24</v>
      </c>
      <c r="K136" s="421" t="s">
        <v>12</v>
      </c>
      <c r="L136" s="422">
        <v>1</v>
      </c>
      <c r="M136" s="423"/>
      <c r="N136" s="528">
        <v>0.05</v>
      </c>
      <c r="O136" s="424"/>
      <c r="P136" s="122"/>
    </row>
    <row r="137" spans="1:26" ht="17.25" customHeight="1">
      <c r="A137" s="548"/>
      <c r="B137" s="348" t="s">
        <v>83</v>
      </c>
      <c r="C137" s="398" t="s">
        <v>4</v>
      </c>
      <c r="D137" s="399">
        <f>+D136</f>
        <v>1.584E-2</v>
      </c>
      <c r="E137" s="897">
        <f>+O100</f>
        <v>0</v>
      </c>
      <c r="F137" s="898">
        <f t="shared" ref="F137:F141" si="7">+ROUND(D137*E137,0)</f>
        <v>0</v>
      </c>
      <c r="G137" s="171"/>
      <c r="H137" s="171"/>
      <c r="I137" s="536"/>
      <c r="J137" s="530" t="s">
        <v>25</v>
      </c>
      <c r="K137" s="421" t="s">
        <v>14</v>
      </c>
      <c r="L137" s="422">
        <v>0.1</v>
      </c>
      <c r="M137" s="423"/>
      <c r="N137" s="421"/>
      <c r="O137" s="424"/>
      <c r="P137" s="122"/>
    </row>
    <row r="138" spans="1:26" ht="24" customHeight="1">
      <c r="A138" s="563"/>
      <c r="B138" s="348" t="s">
        <v>251</v>
      </c>
      <c r="C138" s="398" t="s">
        <v>63</v>
      </c>
      <c r="D138" s="399">
        <v>20.5</v>
      </c>
      <c r="E138" s="897">
        <f>+O183</f>
        <v>0</v>
      </c>
      <c r="F138" s="898">
        <f t="shared" si="7"/>
        <v>0</v>
      </c>
      <c r="G138" s="171"/>
      <c r="H138" s="171"/>
      <c r="I138" s="527"/>
      <c r="J138" s="530" t="s">
        <v>70</v>
      </c>
      <c r="K138" s="421" t="s">
        <v>12</v>
      </c>
      <c r="L138" s="422">
        <v>8</v>
      </c>
      <c r="M138" s="423"/>
      <c r="N138" s="421">
        <v>1</v>
      </c>
      <c r="O138" s="424"/>
      <c r="P138" s="122"/>
      <c r="Q138" s="142"/>
      <c r="R138" s="142"/>
      <c r="S138" s="142"/>
      <c r="T138" s="142"/>
      <c r="U138" s="142"/>
      <c r="V138" s="142"/>
      <c r="W138" s="73"/>
    </row>
    <row r="139" spans="1:26" ht="21" customHeight="1" thickBot="1">
      <c r="A139" s="548"/>
      <c r="B139" s="1171" t="s">
        <v>84</v>
      </c>
      <c r="C139" s="391" t="s">
        <v>3</v>
      </c>
      <c r="D139" s="1173">
        <v>1.2</v>
      </c>
      <c r="E139" s="897">
        <f>+O140</f>
        <v>0</v>
      </c>
      <c r="F139" s="898">
        <f t="shared" si="7"/>
        <v>0</v>
      </c>
      <c r="G139" s="171"/>
      <c r="H139" s="171"/>
      <c r="I139" s="537"/>
      <c r="J139" s="531" t="s">
        <v>65</v>
      </c>
      <c r="K139" s="426" t="s">
        <v>12</v>
      </c>
      <c r="L139" s="427">
        <v>8</v>
      </c>
      <c r="M139" s="428"/>
      <c r="N139" s="529">
        <v>1</v>
      </c>
      <c r="O139" s="429"/>
      <c r="P139" s="120"/>
    </row>
    <row r="140" spans="1:26" ht="19.5" customHeight="1" thickBot="1">
      <c r="A140" s="563"/>
      <c r="B140" s="348" t="s">
        <v>141</v>
      </c>
      <c r="C140" s="398" t="s">
        <v>4</v>
      </c>
      <c r="D140" s="399">
        <f>((1.2*1.2*0.12)-(0.3*0.3*3.1416*0.12))</f>
        <v>0.13887071999999998</v>
      </c>
      <c r="E140" s="897">
        <f>+W128</f>
        <v>0</v>
      </c>
      <c r="F140" s="898">
        <f t="shared" si="7"/>
        <v>0</v>
      </c>
      <c r="G140" s="171"/>
      <c r="H140" s="171"/>
      <c r="I140" s="495" t="s">
        <v>5</v>
      </c>
      <c r="J140" s="496"/>
      <c r="K140" s="543"/>
      <c r="L140" s="543"/>
      <c r="M140" s="496"/>
      <c r="N140" s="834"/>
      <c r="O140" s="471"/>
      <c r="P140" s="120"/>
      <c r="X140" s="73"/>
      <c r="Y140" s="73"/>
      <c r="Z140" s="73"/>
    </row>
    <row r="141" spans="1:26" ht="29.25" customHeight="1" thickBot="1">
      <c r="A141" s="548"/>
      <c r="B141" s="1174" t="s">
        <v>402</v>
      </c>
      <c r="C141" s="398" t="s">
        <v>0</v>
      </c>
      <c r="D141" s="399">
        <v>1</v>
      </c>
      <c r="E141" s="863">
        <f>+O229</f>
        <v>0</v>
      </c>
      <c r="F141" s="898">
        <f t="shared" si="7"/>
        <v>0</v>
      </c>
      <c r="G141" s="171"/>
      <c r="H141" s="171"/>
      <c r="P141" s="120"/>
      <c r="X141" s="73"/>
      <c r="Y141" s="73"/>
      <c r="Z141" s="73"/>
    </row>
    <row r="142" spans="1:26" ht="17.25" customHeight="1" thickBot="1">
      <c r="A142" s="398"/>
      <c r="B142" s="348" t="s">
        <v>142</v>
      </c>
      <c r="C142" s="657" t="s">
        <v>3</v>
      </c>
      <c r="D142" s="786">
        <f>+D134</f>
        <v>0.88</v>
      </c>
      <c r="E142" s="863">
        <f>+G475</f>
        <v>0</v>
      </c>
      <c r="F142" s="898">
        <f>+ROUND(D142*E142,0)</f>
        <v>0</v>
      </c>
      <c r="G142" s="171"/>
      <c r="H142" s="171"/>
      <c r="I142" s="406" t="s">
        <v>6</v>
      </c>
      <c r="J142" s="407" t="s">
        <v>7</v>
      </c>
      <c r="K142" s="439" t="s">
        <v>0</v>
      </c>
      <c r="L142" s="439" t="s">
        <v>8</v>
      </c>
      <c r="M142" s="407"/>
      <c r="N142" s="839" t="s">
        <v>387</v>
      </c>
      <c r="O142" s="409"/>
      <c r="P142" s="120"/>
    </row>
    <row r="143" spans="1:26" ht="30.75" customHeight="1" thickBot="1">
      <c r="A143" s="1894" t="s">
        <v>5</v>
      </c>
      <c r="B143" s="1895"/>
      <c r="C143" s="1895"/>
      <c r="D143" s="1895"/>
      <c r="E143" s="1896"/>
      <c r="F143" s="1175">
        <f>ROUND(SUM(F132:F142)-0.02,0)</f>
        <v>0</v>
      </c>
      <c r="G143" s="171"/>
      <c r="H143" s="171"/>
      <c r="I143" s="410"/>
      <c r="J143" s="416" t="s">
        <v>162</v>
      </c>
      <c r="K143" s="420" t="s">
        <v>22</v>
      </c>
      <c r="L143" s="545"/>
      <c r="M143" s="745"/>
      <c r="N143" s="830"/>
      <c r="O143" s="481"/>
      <c r="P143" s="120"/>
      <c r="X143" s="73"/>
      <c r="Y143" s="73"/>
      <c r="Z143" s="73"/>
    </row>
    <row r="144" spans="1:26" ht="26.25" customHeight="1" thickBot="1">
      <c r="A144" s="1159"/>
      <c r="B144" s="1159"/>
      <c r="C144" s="1159"/>
      <c r="D144" s="1159"/>
      <c r="E144" s="1159"/>
      <c r="F144" s="950"/>
      <c r="G144" s="171"/>
      <c r="H144" s="171"/>
      <c r="I144" s="411"/>
      <c r="J144" s="748" t="s">
        <v>75</v>
      </c>
      <c r="K144" s="421" t="s">
        <v>22</v>
      </c>
      <c r="L144" s="498">
        <v>1</v>
      </c>
      <c r="M144" s="746"/>
      <c r="N144" s="546">
        <v>1.03</v>
      </c>
      <c r="O144" s="455"/>
      <c r="P144" s="120"/>
    </row>
    <row r="145" spans="1:16" ht="33.75" customHeight="1" thickBot="1">
      <c r="A145" s="1161"/>
      <c r="B145" s="1872" t="s">
        <v>473</v>
      </c>
      <c r="C145" s="1873"/>
      <c r="D145" s="1873"/>
      <c r="E145" s="1874"/>
      <c r="F145" s="386" t="s">
        <v>153</v>
      </c>
      <c r="G145" s="171"/>
      <c r="H145" s="171"/>
      <c r="I145" s="411"/>
      <c r="J145" s="417" t="s">
        <v>38</v>
      </c>
      <c r="K145" s="421" t="s">
        <v>18</v>
      </c>
      <c r="L145" s="498">
        <f>0.03*2.792</f>
        <v>8.3759999999999987E-2</v>
      </c>
      <c r="M145" s="746"/>
      <c r="N145" s="546">
        <v>1.03</v>
      </c>
      <c r="O145" s="455"/>
      <c r="P145" s="120"/>
    </row>
    <row r="146" spans="1:16" ht="17.25" customHeight="1" thickBot="1">
      <c r="A146" s="387" t="s">
        <v>419</v>
      </c>
      <c r="B146" s="388" t="s">
        <v>7</v>
      </c>
      <c r="C146" s="389" t="s">
        <v>0</v>
      </c>
      <c r="D146" s="389" t="s">
        <v>8</v>
      </c>
      <c r="E146" s="389" t="s">
        <v>2</v>
      </c>
      <c r="F146" s="1162" t="s">
        <v>9</v>
      </c>
      <c r="G146" s="171"/>
      <c r="H146" s="171"/>
      <c r="I146" s="411"/>
      <c r="J146" s="417" t="s">
        <v>24</v>
      </c>
      <c r="K146" s="421" t="s">
        <v>12</v>
      </c>
      <c r="L146" s="498">
        <v>1</v>
      </c>
      <c r="M146" s="746"/>
      <c r="N146" s="841">
        <f>0.004*2.792</f>
        <v>1.1167999999999999E-2</v>
      </c>
      <c r="O146" s="455"/>
    </row>
    <row r="147" spans="1:16" ht="16.5" customHeight="1" thickBot="1">
      <c r="A147" s="1166"/>
      <c r="B147" s="1176" t="s">
        <v>79</v>
      </c>
      <c r="C147" s="1168" t="s">
        <v>80</v>
      </c>
      <c r="D147" s="1169">
        <v>4</v>
      </c>
      <c r="E147" s="1170">
        <f>+E132</f>
        <v>0</v>
      </c>
      <c r="F147" s="898">
        <f>+ROUND(D147*E147,0)</f>
        <v>0</v>
      </c>
      <c r="G147" s="171"/>
      <c r="H147" s="171"/>
      <c r="I147" s="415"/>
      <c r="J147" s="457" t="s">
        <v>25</v>
      </c>
      <c r="K147" s="426" t="s">
        <v>14</v>
      </c>
      <c r="L147" s="499">
        <v>0.1</v>
      </c>
      <c r="M147" s="747"/>
      <c r="N147" s="842"/>
      <c r="O147" s="461"/>
    </row>
    <row r="148" spans="1:16" ht="32.25" customHeight="1" thickBot="1">
      <c r="A148" s="563"/>
      <c r="B148" s="810" t="s">
        <v>130</v>
      </c>
      <c r="C148" s="398" t="s">
        <v>80</v>
      </c>
      <c r="D148" s="399">
        <v>2</v>
      </c>
      <c r="E148" s="897">
        <f>+E133</f>
        <v>0</v>
      </c>
      <c r="F148" s="898">
        <f t="shared" ref="F148:F156" si="8">+ROUND(D148*E148,0)</f>
        <v>0</v>
      </c>
      <c r="G148" s="171"/>
      <c r="I148" s="495" t="s">
        <v>5</v>
      </c>
      <c r="J148" s="496"/>
      <c r="K148" s="543"/>
      <c r="L148" s="543"/>
      <c r="M148" s="496"/>
      <c r="N148" s="834"/>
      <c r="O148" s="471"/>
    </row>
    <row r="149" spans="1:16" ht="17.25" customHeight="1">
      <c r="A149" s="548"/>
      <c r="B149" s="1172" t="s">
        <v>159</v>
      </c>
      <c r="C149" s="398" t="s">
        <v>80</v>
      </c>
      <c r="D149" s="399">
        <v>4.2</v>
      </c>
      <c r="E149" s="897">
        <f>+O166</f>
        <v>0</v>
      </c>
      <c r="F149" s="898">
        <f t="shared" si="8"/>
        <v>0</v>
      </c>
      <c r="G149" s="171"/>
    </row>
    <row r="150" spans="1:16" ht="24" customHeight="1" thickBot="1">
      <c r="A150" s="563"/>
      <c r="B150" s="1172" t="s">
        <v>160</v>
      </c>
      <c r="C150" s="391" t="s">
        <v>3</v>
      </c>
      <c r="D150" s="399">
        <v>1.2</v>
      </c>
      <c r="E150" s="897">
        <f>+O174</f>
        <v>0</v>
      </c>
      <c r="F150" s="898">
        <f t="shared" si="8"/>
        <v>0</v>
      </c>
      <c r="G150" s="171"/>
    </row>
    <row r="151" spans="1:16" ht="27.75" customHeight="1" thickBot="1">
      <c r="A151" s="563"/>
      <c r="B151" s="348" t="s">
        <v>135</v>
      </c>
      <c r="C151" s="398" t="s">
        <v>4</v>
      </c>
      <c r="D151" s="399">
        <f>+D150*0.12*1.1</f>
        <v>0.15840000000000001</v>
      </c>
      <c r="E151" s="897">
        <f t="shared" ref="E151:E156" si="9">+E136</f>
        <v>0</v>
      </c>
      <c r="F151" s="898">
        <f t="shared" si="8"/>
        <v>0</v>
      </c>
      <c r="G151" s="171"/>
      <c r="I151" s="406" t="s">
        <v>6</v>
      </c>
      <c r="J151" s="407" t="s">
        <v>7</v>
      </c>
      <c r="K151" s="439" t="s">
        <v>0</v>
      </c>
      <c r="L151" s="439" t="s">
        <v>8</v>
      </c>
      <c r="M151" s="407"/>
      <c r="N151" s="839" t="s">
        <v>387</v>
      </c>
      <c r="O151" s="409"/>
    </row>
    <row r="152" spans="1:16" ht="31.5">
      <c r="A152" s="548"/>
      <c r="B152" s="348" t="s">
        <v>83</v>
      </c>
      <c r="C152" s="398" t="s">
        <v>4</v>
      </c>
      <c r="D152" s="399">
        <f>+D151</f>
        <v>0.15840000000000001</v>
      </c>
      <c r="E152" s="897">
        <f t="shared" si="9"/>
        <v>0</v>
      </c>
      <c r="F152" s="898">
        <f t="shared" si="8"/>
        <v>0</v>
      </c>
      <c r="G152" s="171"/>
      <c r="I152" s="410"/>
      <c r="J152" s="416" t="s">
        <v>187</v>
      </c>
      <c r="K152" s="420" t="s">
        <v>22</v>
      </c>
      <c r="L152" s="545"/>
      <c r="M152" s="539"/>
      <c r="N152" s="830"/>
      <c r="O152" s="481"/>
    </row>
    <row r="153" spans="1:16" ht="18.75" customHeight="1">
      <c r="A153" s="563"/>
      <c r="B153" s="348" t="s">
        <v>251</v>
      </c>
      <c r="C153" s="398" t="s">
        <v>63</v>
      </c>
      <c r="D153" s="399">
        <v>20.5</v>
      </c>
      <c r="E153" s="897">
        <f t="shared" si="9"/>
        <v>0</v>
      </c>
      <c r="F153" s="898">
        <f t="shared" si="8"/>
        <v>0</v>
      </c>
      <c r="G153" s="171"/>
      <c r="I153" s="411"/>
      <c r="J153" s="418" t="s">
        <v>156</v>
      </c>
      <c r="K153" s="421" t="s">
        <v>22</v>
      </c>
      <c r="L153" s="498">
        <v>1</v>
      </c>
      <c r="M153" s="414"/>
      <c r="N153" s="546">
        <v>1</v>
      </c>
      <c r="O153" s="455"/>
    </row>
    <row r="154" spans="1:16" ht="19.5" customHeight="1">
      <c r="A154" s="548"/>
      <c r="B154" s="1171" t="s">
        <v>84</v>
      </c>
      <c r="C154" s="391" t="s">
        <v>3</v>
      </c>
      <c r="D154" s="1173">
        <v>1.2</v>
      </c>
      <c r="E154" s="897">
        <f t="shared" si="9"/>
        <v>0</v>
      </c>
      <c r="F154" s="898">
        <f t="shared" si="8"/>
        <v>0</v>
      </c>
      <c r="G154" s="171"/>
      <c r="I154" s="411"/>
      <c r="J154" s="418" t="s">
        <v>34</v>
      </c>
      <c r="K154" s="421" t="s">
        <v>12</v>
      </c>
      <c r="L154" s="498">
        <v>1</v>
      </c>
      <c r="M154" s="414"/>
      <c r="N154" s="546">
        <v>0.2</v>
      </c>
      <c r="O154" s="455"/>
    </row>
    <row r="155" spans="1:16" ht="23.25" customHeight="1">
      <c r="A155" s="563"/>
      <c r="B155" s="348" t="s">
        <v>141</v>
      </c>
      <c r="C155" s="398" t="s">
        <v>4</v>
      </c>
      <c r="D155" s="399">
        <f>((1.2*1.2*0.12)-(0.3*0.3*3.1416*0.12))</f>
        <v>0.13887071999999998</v>
      </c>
      <c r="E155" s="897">
        <f t="shared" si="9"/>
        <v>0</v>
      </c>
      <c r="F155" s="898">
        <f t="shared" si="8"/>
        <v>0</v>
      </c>
      <c r="G155" s="171"/>
      <c r="I155" s="411"/>
      <c r="J155" s="418" t="s">
        <v>248</v>
      </c>
      <c r="K155" s="421" t="s">
        <v>157</v>
      </c>
      <c r="L155" s="498">
        <v>1</v>
      </c>
      <c r="M155" s="414"/>
      <c r="N155" s="546"/>
      <c r="O155" s="455"/>
    </row>
    <row r="156" spans="1:16" ht="28.5" customHeight="1" thickBot="1">
      <c r="A156" s="548"/>
      <c r="B156" s="1174" t="s">
        <v>402</v>
      </c>
      <c r="C156" s="398" t="s">
        <v>0</v>
      </c>
      <c r="D156" s="399">
        <v>1</v>
      </c>
      <c r="E156" s="863">
        <f t="shared" si="9"/>
        <v>0</v>
      </c>
      <c r="F156" s="898">
        <f t="shared" si="8"/>
        <v>0</v>
      </c>
      <c r="G156" s="171"/>
      <c r="I156" s="415"/>
      <c r="J156" s="419" t="s">
        <v>25</v>
      </c>
      <c r="K156" s="426" t="s">
        <v>14</v>
      </c>
      <c r="L156" s="499">
        <v>0.1</v>
      </c>
      <c r="M156" s="541"/>
      <c r="N156" s="842"/>
      <c r="O156" s="461"/>
    </row>
    <row r="157" spans="1:16" ht="24" customHeight="1" thickBot="1">
      <c r="A157" s="1869" t="s">
        <v>5</v>
      </c>
      <c r="B157" s="1870"/>
      <c r="C157" s="1870"/>
      <c r="D157" s="1870"/>
      <c r="E157" s="1871"/>
      <c r="F157" s="1175">
        <f>ROUND(SUM(F147:F156)-0.02,0)</f>
        <v>0</v>
      </c>
      <c r="G157" s="171"/>
      <c r="I157" s="495" t="s">
        <v>5</v>
      </c>
      <c r="J157" s="496"/>
      <c r="K157" s="543"/>
      <c r="L157" s="543"/>
      <c r="M157" s="496"/>
      <c r="N157" s="834"/>
      <c r="O157" s="471"/>
    </row>
    <row r="158" spans="1:16" ht="25.5" customHeight="1">
      <c r="A158" s="1159"/>
      <c r="B158" s="1159"/>
      <c r="C158" s="1159"/>
      <c r="D158" s="1159"/>
      <c r="E158" s="1159"/>
      <c r="F158" s="950"/>
      <c r="G158" s="171"/>
    </row>
    <row r="159" spans="1:16" ht="26.1" customHeight="1" thickBot="1">
      <c r="A159" s="1159"/>
      <c r="B159" s="1159"/>
      <c r="C159" s="1159"/>
      <c r="D159" s="1159"/>
      <c r="E159" s="1159"/>
      <c r="F159" s="950"/>
      <c r="G159" s="171"/>
    </row>
    <row r="160" spans="1:16" ht="27" customHeight="1" thickBot="1">
      <c r="A160" s="1159"/>
      <c r="B160" s="1159"/>
      <c r="C160" s="1159"/>
      <c r="D160" s="1159"/>
      <c r="E160" s="1159"/>
      <c r="F160" s="950"/>
      <c r="G160" s="171"/>
      <c r="I160" s="406" t="s">
        <v>6</v>
      </c>
      <c r="J160" s="407" t="s">
        <v>7</v>
      </c>
      <c r="K160" s="439" t="s">
        <v>0</v>
      </c>
      <c r="L160" s="439" t="s">
        <v>8</v>
      </c>
      <c r="M160" s="407"/>
      <c r="N160" s="839" t="s">
        <v>387</v>
      </c>
      <c r="O160" s="409"/>
    </row>
    <row r="161" spans="1:15" ht="16.5" thickBot="1">
      <c r="A161" s="1159"/>
      <c r="B161" s="1159"/>
      <c r="C161" s="1159"/>
      <c r="D161" s="1159"/>
      <c r="E161" s="1159"/>
      <c r="F161" s="950"/>
      <c r="G161" s="171"/>
      <c r="I161" s="581"/>
      <c r="J161" s="618" t="s">
        <v>159</v>
      </c>
      <c r="K161" s="619" t="s">
        <v>31</v>
      </c>
      <c r="L161" s="822"/>
      <c r="M161" s="620"/>
      <c r="N161" s="822"/>
      <c r="O161" s="766"/>
    </row>
    <row r="162" spans="1:15" ht="24" customHeight="1" thickBot="1">
      <c r="A162" s="973"/>
      <c r="B162" s="1854" t="s">
        <v>443</v>
      </c>
      <c r="C162" s="1854"/>
      <c r="D162" s="1854"/>
      <c r="E162" s="1854"/>
      <c r="F162" s="974" t="s">
        <v>297</v>
      </c>
      <c r="G162" s="171"/>
      <c r="I162" s="582"/>
      <c r="J162" s="417" t="s">
        <v>41</v>
      </c>
      <c r="K162" s="413" t="s">
        <v>29</v>
      </c>
      <c r="L162" s="441">
        <v>1</v>
      </c>
      <c r="M162" s="414"/>
      <c r="N162" s="952">
        <v>1</v>
      </c>
      <c r="O162" s="621"/>
    </row>
    <row r="163" spans="1:15" ht="15.75" thickBot="1">
      <c r="A163" s="1009"/>
      <c r="B163" s="688"/>
      <c r="C163" s="698"/>
      <c r="D163" s="698"/>
      <c r="E163" s="698"/>
      <c r="F163" s="1010"/>
      <c r="G163" s="171"/>
      <c r="I163" s="582"/>
      <c r="J163" s="417" t="s">
        <v>50</v>
      </c>
      <c r="K163" s="413" t="s">
        <v>10</v>
      </c>
      <c r="L163" s="441">
        <v>1</v>
      </c>
      <c r="M163" s="414"/>
      <c r="N163" s="843">
        <v>1.4285714285714285E-2</v>
      </c>
      <c r="O163" s="621"/>
    </row>
    <row r="164" spans="1:15" ht="28.5" customHeight="1" thickBot="1">
      <c r="A164" s="1011" t="s">
        <v>420</v>
      </c>
      <c r="B164" s="1012" t="s">
        <v>7</v>
      </c>
      <c r="C164" s="1013" t="s">
        <v>0</v>
      </c>
      <c r="D164" s="1013" t="s">
        <v>8</v>
      </c>
      <c r="E164" s="1013" t="s">
        <v>2</v>
      </c>
      <c r="F164" s="78" t="s">
        <v>9</v>
      </c>
      <c r="G164" s="171"/>
      <c r="I164" s="582"/>
      <c r="J164" s="417" t="s">
        <v>45</v>
      </c>
      <c r="K164" s="413" t="s">
        <v>12</v>
      </c>
      <c r="L164" s="441">
        <v>1</v>
      </c>
      <c r="M164" s="414"/>
      <c r="N164" s="438">
        <v>0.04</v>
      </c>
      <c r="O164" s="621"/>
    </row>
    <row r="165" spans="1:15" ht="18.75" customHeight="1" thickBot="1">
      <c r="A165" s="1014"/>
      <c r="B165" s="990" t="s">
        <v>79</v>
      </c>
      <c r="C165" s="1015" t="s">
        <v>80</v>
      </c>
      <c r="D165" s="1016">
        <v>1.5</v>
      </c>
      <c r="E165" s="983">
        <f>+O85</f>
        <v>0</v>
      </c>
      <c r="F165" s="984">
        <f t="shared" ref="F165:F177" si="10">+ROUND(E165*D165,0)</f>
        <v>0</v>
      </c>
      <c r="G165" s="171"/>
      <c r="I165" s="584"/>
      <c r="J165" s="457" t="s">
        <v>67</v>
      </c>
      <c r="K165" s="433" t="s">
        <v>12</v>
      </c>
      <c r="L165" s="459">
        <v>1</v>
      </c>
      <c r="M165" s="460"/>
      <c r="N165" s="458">
        <v>0.04</v>
      </c>
      <c r="O165" s="622"/>
    </row>
    <row r="166" spans="1:15" ht="27" customHeight="1" thickBot="1">
      <c r="A166" s="979"/>
      <c r="B166" s="980" t="s">
        <v>130</v>
      </c>
      <c r="C166" s="996" t="s">
        <v>80</v>
      </c>
      <c r="D166" s="1017">
        <v>1</v>
      </c>
      <c r="E166" s="1004">
        <f>+O77</f>
        <v>0</v>
      </c>
      <c r="F166" s="984">
        <f t="shared" si="10"/>
        <v>0</v>
      </c>
      <c r="G166" s="171"/>
      <c r="I166" s="495" t="s">
        <v>5</v>
      </c>
      <c r="J166" s="496"/>
      <c r="K166" s="543"/>
      <c r="L166" s="543"/>
      <c r="M166" s="496"/>
      <c r="N166" s="834"/>
      <c r="O166" s="471"/>
    </row>
    <row r="167" spans="1:15" ht="18.75" customHeight="1">
      <c r="A167" s="1018"/>
      <c r="B167" s="980" t="s">
        <v>81</v>
      </c>
      <c r="C167" s="1019" t="s">
        <v>86</v>
      </c>
      <c r="D167" s="1020">
        <v>0.2</v>
      </c>
      <c r="E167" s="983">
        <f>+O107</f>
        <v>0</v>
      </c>
      <c r="F167" s="984">
        <f t="shared" si="10"/>
        <v>0</v>
      </c>
      <c r="G167" s="171"/>
      <c r="I167" s="171"/>
      <c r="J167" s="171"/>
      <c r="K167" s="823"/>
      <c r="L167" s="823"/>
      <c r="M167" s="172"/>
      <c r="N167" s="823"/>
      <c r="O167" s="172"/>
    </row>
    <row r="168" spans="1:15" ht="25.5" customHeight="1" thickBot="1">
      <c r="A168" s="979"/>
      <c r="B168" s="999" t="s">
        <v>159</v>
      </c>
      <c r="C168" s="1019" t="s">
        <v>80</v>
      </c>
      <c r="D168" s="1020">
        <v>2</v>
      </c>
      <c r="E168" s="983">
        <f>+O166</f>
        <v>0</v>
      </c>
      <c r="F168" s="984">
        <f t="shared" si="10"/>
        <v>0</v>
      </c>
      <c r="G168" s="171"/>
      <c r="I168" s="171"/>
      <c r="J168" s="171"/>
      <c r="K168" s="823"/>
      <c r="L168" s="823"/>
      <c r="M168" s="172"/>
      <c r="N168" s="823"/>
      <c r="O168" s="172"/>
    </row>
    <row r="169" spans="1:15" ht="18" customHeight="1" thickBot="1">
      <c r="A169" s="1018"/>
      <c r="B169" s="999" t="s">
        <v>160</v>
      </c>
      <c r="C169" s="1021" t="s">
        <v>3</v>
      </c>
      <c r="D169" s="1020">
        <f>1*1.3</f>
        <v>1.3</v>
      </c>
      <c r="E169" s="983">
        <f>+O174</f>
        <v>0</v>
      </c>
      <c r="F169" s="984">
        <f t="shared" si="10"/>
        <v>0</v>
      </c>
      <c r="G169" s="171"/>
      <c r="I169" s="406" t="s">
        <v>6</v>
      </c>
      <c r="J169" s="407" t="s">
        <v>7</v>
      </c>
      <c r="K169" s="439" t="s">
        <v>0</v>
      </c>
      <c r="L169" s="439" t="s">
        <v>8</v>
      </c>
      <c r="M169" s="407"/>
      <c r="N169" s="839" t="s">
        <v>387</v>
      </c>
      <c r="O169" s="409"/>
    </row>
    <row r="170" spans="1:15" ht="18.75" customHeight="1">
      <c r="A170" s="979"/>
      <c r="B170" s="980" t="s">
        <v>150</v>
      </c>
      <c r="C170" s="1019" t="s">
        <v>4</v>
      </c>
      <c r="D170" s="1020">
        <f>(1.3*1*1.5)-(0.7*0.7*1)</f>
        <v>1.4600000000000002</v>
      </c>
      <c r="E170" s="983">
        <f>+O332</f>
        <v>0</v>
      </c>
      <c r="F170" s="984">
        <f t="shared" si="10"/>
        <v>0</v>
      </c>
      <c r="G170" s="171"/>
      <c r="I170" s="581"/>
      <c r="J170" s="478" t="s">
        <v>160</v>
      </c>
      <c r="K170" s="420" t="s">
        <v>22</v>
      </c>
      <c r="L170" s="545"/>
      <c r="M170" s="585"/>
      <c r="N170" s="830"/>
      <c r="O170" s="623"/>
    </row>
    <row r="171" spans="1:15" ht="23.25" customHeight="1">
      <c r="A171" s="1018"/>
      <c r="B171" s="980" t="s">
        <v>135</v>
      </c>
      <c r="C171" s="1019" t="s">
        <v>4</v>
      </c>
      <c r="D171" s="1020">
        <f>+(D169*0.12+D170)*1.3</f>
        <v>2.1008</v>
      </c>
      <c r="E171" s="983">
        <f>+O92</f>
        <v>0</v>
      </c>
      <c r="F171" s="984">
        <f t="shared" si="10"/>
        <v>0</v>
      </c>
      <c r="G171" s="171"/>
      <c r="I171" s="582"/>
      <c r="J171" s="418" t="s">
        <v>36</v>
      </c>
      <c r="K171" s="421" t="s">
        <v>12</v>
      </c>
      <c r="L171" s="498">
        <v>1</v>
      </c>
      <c r="M171" s="414"/>
      <c r="N171" s="546">
        <v>0.06</v>
      </c>
      <c r="O171" s="455"/>
    </row>
    <row r="172" spans="1:15" ht="18.75" customHeight="1">
      <c r="A172" s="1022"/>
      <c r="B172" s="980" t="s">
        <v>83</v>
      </c>
      <c r="C172" s="1019" t="s">
        <v>4</v>
      </c>
      <c r="D172" s="1020">
        <f>+D171</f>
        <v>2.1008</v>
      </c>
      <c r="E172" s="983">
        <f>+O100</f>
        <v>0</v>
      </c>
      <c r="F172" s="984">
        <f t="shared" si="10"/>
        <v>0</v>
      </c>
      <c r="G172" s="171"/>
      <c r="I172" s="582"/>
      <c r="J172" s="418" t="s">
        <v>15</v>
      </c>
      <c r="K172" s="421" t="s">
        <v>14</v>
      </c>
      <c r="L172" s="498">
        <v>0.1</v>
      </c>
      <c r="M172" s="414"/>
      <c r="N172" s="546"/>
      <c r="O172" s="455"/>
    </row>
    <row r="173" spans="1:15" ht="18.75" customHeight="1" thickBot="1">
      <c r="A173" s="979"/>
      <c r="B173" s="980" t="s">
        <v>174</v>
      </c>
      <c r="C173" s="1019" t="s">
        <v>4</v>
      </c>
      <c r="D173" s="1020">
        <f>1.3*0.15</f>
        <v>0.19500000000000001</v>
      </c>
      <c r="E173" s="983">
        <f>+O209</f>
        <v>0</v>
      </c>
      <c r="F173" s="984">
        <f t="shared" si="10"/>
        <v>0</v>
      </c>
      <c r="G173" s="171"/>
      <c r="I173" s="584"/>
      <c r="J173" s="419" t="s">
        <v>25</v>
      </c>
      <c r="K173" s="426" t="s">
        <v>14</v>
      </c>
      <c r="L173" s="499">
        <v>0.1</v>
      </c>
      <c r="M173" s="460"/>
      <c r="N173" s="842"/>
      <c r="O173" s="461"/>
    </row>
    <row r="174" spans="1:15" ht="18.75" customHeight="1" thickBot="1">
      <c r="A174" s="1018"/>
      <c r="B174" s="980" t="s">
        <v>162</v>
      </c>
      <c r="C174" s="1021" t="s">
        <v>3</v>
      </c>
      <c r="D174" s="1020">
        <f>(1.2+1.15)</f>
        <v>2.3499999999999996</v>
      </c>
      <c r="E174" s="983">
        <f>+O148</f>
        <v>0</v>
      </c>
      <c r="F174" s="984">
        <f t="shared" si="10"/>
        <v>0</v>
      </c>
      <c r="G174" s="171"/>
      <c r="I174" s="495" t="s">
        <v>5</v>
      </c>
      <c r="J174" s="496"/>
      <c r="K174" s="543"/>
      <c r="L174" s="543"/>
      <c r="M174" s="496"/>
      <c r="N174" s="834"/>
      <c r="O174" s="471"/>
    </row>
    <row r="175" spans="1:15" ht="18.75" customHeight="1">
      <c r="A175" s="979"/>
      <c r="B175" s="980" t="s">
        <v>251</v>
      </c>
      <c r="C175" s="1019" t="s">
        <v>63</v>
      </c>
      <c r="D175" s="1020">
        <f>+AB385</f>
        <v>42.727159999999998</v>
      </c>
      <c r="E175" s="983">
        <f>+O183</f>
        <v>0</v>
      </c>
      <c r="F175" s="984">
        <f t="shared" si="10"/>
        <v>0</v>
      </c>
      <c r="G175" s="171"/>
      <c r="I175" s="171"/>
      <c r="J175" s="171"/>
      <c r="K175" s="823"/>
      <c r="L175" s="823"/>
      <c r="M175" s="172"/>
      <c r="N175" s="823"/>
      <c r="O175" s="172"/>
    </row>
    <row r="176" spans="1:15" ht="18.75" customHeight="1" thickBot="1">
      <c r="A176" s="1018"/>
      <c r="B176" s="980" t="s">
        <v>84</v>
      </c>
      <c r="C176" s="1021" t="s">
        <v>3</v>
      </c>
      <c r="D176" s="1020">
        <f>(1.2*2)+1</f>
        <v>3.4</v>
      </c>
      <c r="E176" s="983">
        <f>+O140</f>
        <v>0</v>
      </c>
      <c r="F176" s="984">
        <f t="shared" si="10"/>
        <v>0</v>
      </c>
      <c r="G176" s="171"/>
      <c r="I176" s="171"/>
      <c r="J176" s="171"/>
      <c r="K176" s="823"/>
      <c r="L176" s="823"/>
      <c r="M176" s="172"/>
      <c r="N176" s="823"/>
      <c r="O176" s="172"/>
    </row>
    <row r="177" spans="1:15" ht="27" customHeight="1" thickBot="1">
      <c r="A177" s="1022"/>
      <c r="B177" s="1023" t="s">
        <v>141</v>
      </c>
      <c r="C177" s="1024" t="s">
        <v>4</v>
      </c>
      <c r="D177" s="1025">
        <f>+AA394</f>
        <v>0.73110000000000008</v>
      </c>
      <c r="E177" s="1026">
        <f>+O128</f>
        <v>0</v>
      </c>
      <c r="F177" s="984">
        <f t="shared" si="10"/>
        <v>0</v>
      </c>
      <c r="G177" s="171"/>
      <c r="I177" s="406" t="s">
        <v>6</v>
      </c>
      <c r="J177" s="407" t="s">
        <v>7</v>
      </c>
      <c r="K177" s="439" t="s">
        <v>0</v>
      </c>
      <c r="L177" s="439" t="s">
        <v>8</v>
      </c>
      <c r="M177" s="407"/>
      <c r="N177" s="839" t="s">
        <v>387</v>
      </c>
      <c r="O177" s="409"/>
    </row>
    <row r="178" spans="1:15" ht="27" customHeight="1" thickBot="1">
      <c r="A178" s="1027"/>
      <c r="B178" s="688"/>
      <c r="C178" s="700"/>
      <c r="D178" s="700"/>
      <c r="E178" s="99"/>
      <c r="F178" s="1010"/>
      <c r="G178" s="171"/>
      <c r="I178" s="581"/>
      <c r="J178" s="618" t="s">
        <v>251</v>
      </c>
      <c r="K178" s="619" t="s">
        <v>18</v>
      </c>
      <c r="L178" s="822"/>
      <c r="M178" s="585"/>
      <c r="N178" s="822"/>
      <c r="O178" s="481"/>
    </row>
    <row r="179" spans="1:15" ht="18.75" customHeight="1" thickBot="1">
      <c r="A179" s="1789" t="s">
        <v>5</v>
      </c>
      <c r="B179" s="1790"/>
      <c r="C179" s="1790"/>
      <c r="D179" s="1790"/>
      <c r="E179" s="1791"/>
      <c r="F179" s="988">
        <f>ROUND(SUM(F165:F177),0)</f>
        <v>0</v>
      </c>
      <c r="G179" s="171"/>
      <c r="I179" s="582"/>
      <c r="J179" s="418" t="s">
        <v>39</v>
      </c>
      <c r="K179" s="421" t="s">
        <v>18</v>
      </c>
      <c r="L179" s="498">
        <v>1</v>
      </c>
      <c r="M179" s="414"/>
      <c r="N179" s="546">
        <v>1.03</v>
      </c>
      <c r="O179" s="455"/>
    </row>
    <row r="180" spans="1:15" ht="16.5" thickBot="1">
      <c r="A180" s="956"/>
      <c r="B180" s="956"/>
      <c r="C180" s="956"/>
      <c r="D180" s="956"/>
      <c r="E180" s="956"/>
      <c r="F180" s="558"/>
      <c r="G180" s="171"/>
      <c r="I180" s="582"/>
      <c r="J180" s="418" t="s">
        <v>38</v>
      </c>
      <c r="K180" s="421" t="s">
        <v>18</v>
      </c>
      <c r="L180" s="824">
        <v>0.06</v>
      </c>
      <c r="M180" s="414"/>
      <c r="N180" s="546">
        <v>1.03</v>
      </c>
      <c r="O180" s="455"/>
    </row>
    <row r="181" spans="1:15" ht="16.5" thickBot="1">
      <c r="A181" s="973"/>
      <c r="B181" s="1792" t="s">
        <v>444</v>
      </c>
      <c r="C181" s="1793"/>
      <c r="D181" s="1793"/>
      <c r="E181" s="1794"/>
      <c r="F181" s="974" t="s">
        <v>297</v>
      </c>
      <c r="G181" s="171"/>
      <c r="I181" s="582"/>
      <c r="J181" s="418" t="s">
        <v>24</v>
      </c>
      <c r="K181" s="421" t="s">
        <v>12</v>
      </c>
      <c r="L181" s="498">
        <v>1</v>
      </c>
      <c r="M181" s="414"/>
      <c r="N181" s="841">
        <v>6.4999999999999997E-3</v>
      </c>
      <c r="O181" s="455"/>
    </row>
    <row r="182" spans="1:15" ht="15.75" thickBot="1">
      <c r="A182" s="1009"/>
      <c r="B182" s="688"/>
      <c r="C182" s="698"/>
      <c r="D182" s="698"/>
      <c r="E182" s="698"/>
      <c r="F182" s="1010"/>
      <c r="G182" s="171"/>
      <c r="I182" s="584"/>
      <c r="J182" s="419" t="s">
        <v>25</v>
      </c>
      <c r="K182" s="426" t="s">
        <v>14</v>
      </c>
      <c r="L182" s="499">
        <v>0.05</v>
      </c>
      <c r="M182" s="460"/>
      <c r="N182" s="842"/>
      <c r="O182" s="461"/>
    </row>
    <row r="183" spans="1:15" ht="21" customHeight="1" thickBot="1">
      <c r="A183" s="1011" t="s">
        <v>421</v>
      </c>
      <c r="B183" s="1012" t="s">
        <v>7</v>
      </c>
      <c r="C183" s="1013" t="s">
        <v>0</v>
      </c>
      <c r="D183" s="1013" t="s">
        <v>8</v>
      </c>
      <c r="E183" s="1013" t="s">
        <v>2</v>
      </c>
      <c r="F183" s="78" t="s">
        <v>9</v>
      </c>
      <c r="G183" s="171"/>
      <c r="I183" s="495" t="s">
        <v>5</v>
      </c>
      <c r="J183" s="496"/>
      <c r="K183" s="543"/>
      <c r="L183" s="543"/>
      <c r="M183" s="496"/>
      <c r="N183" s="834"/>
      <c r="O183" s="471"/>
    </row>
    <row r="184" spans="1:15" ht="15.75" thickBot="1">
      <c r="A184" s="1014"/>
      <c r="B184" s="990" t="s">
        <v>79</v>
      </c>
      <c r="C184" s="1015" t="s">
        <v>80</v>
      </c>
      <c r="D184" s="1016">
        <v>1.5</v>
      </c>
      <c r="E184" s="983">
        <f>E165</f>
        <v>0</v>
      </c>
      <c r="F184" s="984">
        <f t="shared" ref="F184:F198" si="11">+ROUND(E184*D184,0)</f>
        <v>0</v>
      </c>
      <c r="G184" s="171"/>
      <c r="I184" s="171"/>
      <c r="J184" s="171"/>
      <c r="K184" s="823"/>
      <c r="L184" s="823"/>
      <c r="M184" s="172"/>
      <c r="N184" s="823"/>
      <c r="O184" s="172"/>
    </row>
    <row r="185" spans="1:15" ht="30.75">
      <c r="A185" s="979"/>
      <c r="B185" s="980" t="s">
        <v>130</v>
      </c>
      <c r="C185" s="996" t="s">
        <v>80</v>
      </c>
      <c r="D185" s="1017">
        <v>1</v>
      </c>
      <c r="E185" s="1004">
        <f>E166</f>
        <v>0</v>
      </c>
      <c r="F185" s="984">
        <f t="shared" si="11"/>
        <v>0</v>
      </c>
      <c r="G185" s="171"/>
      <c r="I185" s="406" t="s">
        <v>6</v>
      </c>
      <c r="J185" s="407" t="s">
        <v>7</v>
      </c>
      <c r="K185" s="439" t="s">
        <v>0</v>
      </c>
      <c r="L185" s="439" t="s">
        <v>8</v>
      </c>
      <c r="M185" s="407"/>
      <c r="N185" s="839" t="s">
        <v>387</v>
      </c>
      <c r="O185" s="409"/>
    </row>
    <row r="186" spans="1:15" ht="20.25" customHeight="1">
      <c r="A186" s="1018"/>
      <c r="B186" s="980" t="s">
        <v>81</v>
      </c>
      <c r="C186" s="1019" t="s">
        <v>86</v>
      </c>
      <c r="D186" s="1020">
        <v>0.2</v>
      </c>
      <c r="E186" s="983">
        <f>E167</f>
        <v>0</v>
      </c>
      <c r="F186" s="984">
        <f t="shared" si="11"/>
        <v>0</v>
      </c>
      <c r="G186" s="171"/>
      <c r="I186" s="411"/>
      <c r="J186" s="638" t="s">
        <v>167</v>
      </c>
      <c r="K186" s="639" t="s">
        <v>31</v>
      </c>
      <c r="L186" s="825"/>
      <c r="M186" s="640"/>
      <c r="N186" s="639"/>
      <c r="O186" s="641"/>
    </row>
    <row r="187" spans="1:15">
      <c r="A187" s="1018"/>
      <c r="B187" s="1001" t="s">
        <v>133</v>
      </c>
      <c r="C187" s="1006" t="s">
        <v>3</v>
      </c>
      <c r="D187" s="1007">
        <f>1.4*1.4</f>
        <v>1.9599999999999997</v>
      </c>
      <c r="E187" s="1008">
        <f>+G466</f>
        <v>0</v>
      </c>
      <c r="F187" s="984">
        <f t="shared" si="11"/>
        <v>0</v>
      </c>
      <c r="G187" s="171"/>
      <c r="I187" s="411"/>
      <c r="J187" s="417" t="s">
        <v>51</v>
      </c>
      <c r="K187" s="546" t="s">
        <v>23</v>
      </c>
      <c r="L187" s="498">
        <v>1.5</v>
      </c>
      <c r="M187" s="414"/>
      <c r="N187" s="546">
        <v>0.08</v>
      </c>
      <c r="O187" s="455"/>
    </row>
    <row r="188" spans="1:15">
      <c r="A188" s="979"/>
      <c r="B188" s="999" t="s">
        <v>159</v>
      </c>
      <c r="C188" s="1019" t="s">
        <v>80</v>
      </c>
      <c r="D188" s="1020">
        <v>2</v>
      </c>
      <c r="E188" s="983">
        <f t="shared" ref="E188:E197" si="12">E168</f>
        <v>0</v>
      </c>
      <c r="F188" s="984">
        <f t="shared" si="11"/>
        <v>0</v>
      </c>
      <c r="G188" s="171"/>
      <c r="I188" s="411"/>
      <c r="J188" s="417" t="s">
        <v>54</v>
      </c>
      <c r="K188" s="546" t="s">
        <v>168</v>
      </c>
      <c r="L188" s="498">
        <v>0.5</v>
      </c>
      <c r="M188" s="414"/>
      <c r="N188" s="546"/>
      <c r="O188" s="455"/>
    </row>
    <row r="189" spans="1:15" ht="16.5" customHeight="1">
      <c r="A189" s="1018"/>
      <c r="B189" s="999" t="s">
        <v>160</v>
      </c>
      <c r="C189" s="1021" t="s">
        <v>3</v>
      </c>
      <c r="D189" s="1020">
        <v>1.3</v>
      </c>
      <c r="E189" s="983">
        <f t="shared" si="12"/>
        <v>0</v>
      </c>
      <c r="F189" s="984">
        <f t="shared" si="11"/>
        <v>0</v>
      </c>
      <c r="G189" s="171"/>
      <c r="I189" s="411"/>
      <c r="J189" s="418" t="s">
        <v>44</v>
      </c>
      <c r="K189" s="546" t="s">
        <v>12</v>
      </c>
      <c r="L189" s="498">
        <v>1</v>
      </c>
      <c r="M189" s="414"/>
      <c r="N189" s="844">
        <v>0.08</v>
      </c>
      <c r="O189" s="455"/>
    </row>
    <row r="190" spans="1:15" ht="15.75" thickBot="1">
      <c r="A190" s="979"/>
      <c r="B190" s="980" t="s">
        <v>150</v>
      </c>
      <c r="C190" s="1019" t="s">
        <v>4</v>
      </c>
      <c r="D190" s="1020">
        <v>1.4600000000000002</v>
      </c>
      <c r="E190" s="983">
        <f t="shared" si="12"/>
        <v>0</v>
      </c>
      <c r="F190" s="984">
        <f t="shared" si="11"/>
        <v>0</v>
      </c>
      <c r="G190" s="171"/>
      <c r="I190" s="411"/>
      <c r="J190" s="418" t="s">
        <v>25</v>
      </c>
      <c r="K190" s="546" t="s">
        <v>14</v>
      </c>
      <c r="L190" s="498">
        <v>0.1</v>
      </c>
      <c r="M190" s="414"/>
      <c r="N190" s="546"/>
      <c r="O190" s="455"/>
    </row>
    <row r="191" spans="1:15" ht="16.5" thickBot="1">
      <c r="A191" s="1018"/>
      <c r="B191" s="980" t="s">
        <v>135</v>
      </c>
      <c r="C191" s="1019" t="s">
        <v>4</v>
      </c>
      <c r="D191" s="1020">
        <f>+D171</f>
        <v>2.1008</v>
      </c>
      <c r="E191" s="983">
        <f t="shared" si="12"/>
        <v>0</v>
      </c>
      <c r="F191" s="984">
        <f t="shared" si="11"/>
        <v>0</v>
      </c>
      <c r="G191" s="171"/>
      <c r="I191" s="495" t="s">
        <v>5</v>
      </c>
      <c r="J191" s="496"/>
      <c r="K191" s="543"/>
      <c r="L191" s="543"/>
      <c r="M191" s="496"/>
      <c r="N191" s="834"/>
      <c r="O191" s="471"/>
    </row>
    <row r="192" spans="1:15">
      <c r="A192" s="1022"/>
      <c r="B192" s="980" t="s">
        <v>83</v>
      </c>
      <c r="C192" s="1019" t="s">
        <v>4</v>
      </c>
      <c r="D192" s="1020">
        <f>+D172</f>
        <v>2.1008</v>
      </c>
      <c r="E192" s="983">
        <f t="shared" si="12"/>
        <v>0</v>
      </c>
      <c r="F192" s="984">
        <f t="shared" si="11"/>
        <v>0</v>
      </c>
      <c r="G192" s="171"/>
    </row>
    <row r="193" spans="1:15" ht="20.25" customHeight="1" thickBot="1">
      <c r="A193" s="979"/>
      <c r="B193" s="1000" t="s">
        <v>174</v>
      </c>
      <c r="C193" s="1019" t="s">
        <v>4</v>
      </c>
      <c r="D193" s="1020">
        <v>0.19500000000000001</v>
      </c>
      <c r="E193" s="983">
        <f t="shared" si="12"/>
        <v>0</v>
      </c>
      <c r="F193" s="984">
        <f t="shared" si="11"/>
        <v>0</v>
      </c>
      <c r="G193" s="171"/>
    </row>
    <row r="194" spans="1:15" ht="30.75" thickBot="1">
      <c r="A194" s="1018"/>
      <c r="B194" s="1000" t="s">
        <v>162</v>
      </c>
      <c r="C194" s="1021" t="s">
        <v>3</v>
      </c>
      <c r="D194" s="1020">
        <v>2.3499999999999996</v>
      </c>
      <c r="E194" s="983">
        <f t="shared" si="12"/>
        <v>0</v>
      </c>
      <c r="F194" s="984">
        <f t="shared" si="11"/>
        <v>0</v>
      </c>
      <c r="G194" s="171"/>
      <c r="I194" s="406" t="s">
        <v>6</v>
      </c>
      <c r="J194" s="407" t="s">
        <v>7</v>
      </c>
      <c r="K194" s="439" t="s">
        <v>0</v>
      </c>
      <c r="L194" s="439" t="s">
        <v>8</v>
      </c>
      <c r="M194" s="407"/>
      <c r="N194" s="839" t="s">
        <v>387</v>
      </c>
      <c r="O194" s="409"/>
    </row>
    <row r="195" spans="1:15" ht="31.5">
      <c r="A195" s="979"/>
      <c r="B195" s="980" t="s">
        <v>251</v>
      </c>
      <c r="C195" s="1019" t="s">
        <v>63</v>
      </c>
      <c r="D195" s="1020">
        <v>42.727159999999998</v>
      </c>
      <c r="E195" s="983">
        <f t="shared" si="12"/>
        <v>0</v>
      </c>
      <c r="F195" s="984">
        <f t="shared" si="11"/>
        <v>0</v>
      </c>
      <c r="G195" s="171"/>
      <c r="I195" s="410"/>
      <c r="J195" s="416" t="s">
        <v>294</v>
      </c>
      <c r="K195" s="420" t="s">
        <v>31</v>
      </c>
      <c r="L195" s="545"/>
      <c r="M195" s="585"/>
      <c r="N195" s="830"/>
      <c r="O195" s="623"/>
    </row>
    <row r="196" spans="1:15">
      <c r="A196" s="1018"/>
      <c r="B196" s="980" t="s">
        <v>84</v>
      </c>
      <c r="C196" s="1021" t="s">
        <v>3</v>
      </c>
      <c r="D196" s="1020">
        <v>3.4</v>
      </c>
      <c r="E196" s="983">
        <f t="shared" si="12"/>
        <v>0</v>
      </c>
      <c r="F196" s="984">
        <f t="shared" si="11"/>
        <v>0</v>
      </c>
      <c r="G196" s="171"/>
      <c r="I196" s="411"/>
      <c r="J196" s="418" t="s">
        <v>132</v>
      </c>
      <c r="K196" s="421" t="s">
        <v>31</v>
      </c>
      <c r="L196" s="498">
        <v>1</v>
      </c>
      <c r="M196" s="414"/>
      <c r="N196" s="546">
        <v>1</v>
      </c>
      <c r="O196" s="455"/>
    </row>
    <row r="197" spans="1:15">
      <c r="A197" s="1028"/>
      <c r="B197" s="1029" t="s">
        <v>141</v>
      </c>
      <c r="C197" s="1030" t="s">
        <v>4</v>
      </c>
      <c r="D197" s="1031">
        <v>0.73110000000000008</v>
      </c>
      <c r="E197" s="1032">
        <f t="shared" si="12"/>
        <v>0</v>
      </c>
      <c r="F197" s="984">
        <f t="shared" si="11"/>
        <v>0</v>
      </c>
      <c r="G197" s="171"/>
      <c r="I197" s="411"/>
      <c r="J197" s="418" t="s">
        <v>48</v>
      </c>
      <c r="K197" s="421" t="s">
        <v>31</v>
      </c>
      <c r="L197" s="498">
        <f>2.8*4</f>
        <v>11.2</v>
      </c>
      <c r="M197" s="414"/>
      <c r="N197" s="546">
        <v>1</v>
      </c>
      <c r="O197" s="455"/>
    </row>
    <row r="198" spans="1:15">
      <c r="A198" s="1019"/>
      <c r="B198" s="1000" t="s">
        <v>142</v>
      </c>
      <c r="C198" s="1006" t="s">
        <v>3</v>
      </c>
      <c r="D198" s="1007">
        <f>+D187</f>
        <v>1.9599999999999997</v>
      </c>
      <c r="E198" s="1004">
        <f>+G475</f>
        <v>0</v>
      </c>
      <c r="F198" s="1033">
        <f t="shared" si="11"/>
        <v>0</v>
      </c>
      <c r="G198" s="171"/>
      <c r="I198" s="411"/>
      <c r="J198" s="418" t="s">
        <v>24</v>
      </c>
      <c r="K198" s="421" t="s">
        <v>12</v>
      </c>
      <c r="L198" s="498">
        <v>1</v>
      </c>
      <c r="M198" s="414"/>
      <c r="N198" s="546">
        <v>0.15</v>
      </c>
      <c r="O198" s="455"/>
    </row>
    <row r="199" spans="1:15" ht="28.5" customHeight="1" thickBot="1">
      <c r="A199" s="1030"/>
      <c r="B199" s="1029"/>
      <c r="C199" s="1030"/>
      <c r="D199" s="1030"/>
      <c r="E199" s="1034"/>
      <c r="F199" s="1010"/>
      <c r="G199" s="171"/>
      <c r="I199" s="411"/>
      <c r="J199" s="418" t="s">
        <v>15</v>
      </c>
      <c r="K199" s="421" t="s">
        <v>14</v>
      </c>
      <c r="L199" s="498">
        <v>0.1</v>
      </c>
      <c r="M199" s="414"/>
      <c r="N199" s="546"/>
      <c r="O199" s="455"/>
    </row>
    <row r="200" spans="1:15" ht="16.5" thickBot="1">
      <c r="A200" s="1789" t="s">
        <v>5</v>
      </c>
      <c r="B200" s="1790"/>
      <c r="C200" s="1790"/>
      <c r="D200" s="1790"/>
      <c r="E200" s="1813"/>
      <c r="F200" s="1035">
        <f>ROUND(SUM(F184:F198),0)</f>
        <v>0</v>
      </c>
      <c r="G200" s="171"/>
      <c r="I200" s="415"/>
      <c r="J200" s="419" t="s">
        <v>25</v>
      </c>
      <c r="K200" s="426" t="s">
        <v>14</v>
      </c>
      <c r="L200" s="499">
        <v>0.1</v>
      </c>
      <c r="M200" s="460"/>
      <c r="N200" s="842"/>
      <c r="O200" s="461"/>
    </row>
    <row r="201" spans="1:15" ht="16.5" thickBot="1">
      <c r="A201" s="953"/>
      <c r="B201" s="954"/>
      <c r="C201" s="954"/>
      <c r="D201" s="954"/>
      <c r="E201" s="954"/>
      <c r="F201" s="955"/>
      <c r="G201" s="171"/>
      <c r="I201" s="495" t="s">
        <v>5</v>
      </c>
      <c r="J201" s="496"/>
      <c r="K201" s="543"/>
      <c r="L201" s="543"/>
      <c r="M201" s="496"/>
      <c r="N201" s="834"/>
      <c r="O201" s="471"/>
    </row>
    <row r="202" spans="1:15" ht="16.5" thickBot="1">
      <c r="A202" s="1158"/>
      <c r="B202" s="1158"/>
      <c r="C202" s="1158"/>
      <c r="D202" s="1158"/>
      <c r="E202" s="1158"/>
      <c r="F202" s="558"/>
      <c r="G202" s="171"/>
    </row>
    <row r="203" spans="1:15" ht="33.75" customHeight="1" thickBot="1">
      <c r="A203" s="1795" t="s">
        <v>464</v>
      </c>
      <c r="B203" s="1796"/>
      <c r="C203" s="1796"/>
      <c r="D203" s="1796"/>
      <c r="E203" s="1796"/>
      <c r="F203" s="1797"/>
      <c r="G203" s="171"/>
      <c r="I203" s="406" t="s">
        <v>6</v>
      </c>
      <c r="J203" s="407" t="s">
        <v>7</v>
      </c>
      <c r="K203" s="439" t="s">
        <v>0</v>
      </c>
      <c r="L203" s="439" t="s">
        <v>8</v>
      </c>
      <c r="M203" s="407"/>
      <c r="N203" s="839" t="s">
        <v>387</v>
      </c>
      <c r="O203" s="409"/>
    </row>
    <row r="204" spans="1:15" ht="16.5" thickBot="1">
      <c r="A204" s="1235"/>
      <c r="B204" s="1235"/>
      <c r="C204" s="1235"/>
      <c r="D204" s="1235"/>
      <c r="E204" s="1235"/>
      <c r="F204" s="1235"/>
      <c r="G204" s="171"/>
      <c r="I204" s="410"/>
      <c r="J204" s="618" t="s">
        <v>174</v>
      </c>
      <c r="K204" s="619" t="s">
        <v>40</v>
      </c>
      <c r="L204" s="822"/>
      <c r="M204" s="585"/>
      <c r="N204" s="822"/>
      <c r="O204" s="481"/>
    </row>
    <row r="205" spans="1:15" ht="15.75" thickBot="1">
      <c r="A205" s="1236" t="s">
        <v>422</v>
      </c>
      <c r="B205" s="1237" t="s">
        <v>7</v>
      </c>
      <c r="C205" s="1237" t="s">
        <v>0</v>
      </c>
      <c r="D205" s="1237" t="s">
        <v>8</v>
      </c>
      <c r="E205" s="1237" t="s">
        <v>2</v>
      </c>
      <c r="F205" s="1238" t="s">
        <v>9</v>
      </c>
      <c r="G205" s="171"/>
      <c r="I205" s="411"/>
      <c r="J205" s="417" t="s">
        <v>16</v>
      </c>
      <c r="K205" s="413" t="s">
        <v>40</v>
      </c>
      <c r="L205" s="498">
        <v>1</v>
      </c>
      <c r="M205" s="414"/>
      <c r="N205" s="546">
        <v>1.3</v>
      </c>
      <c r="O205" s="455"/>
    </row>
    <row r="206" spans="1:15" ht="19.5" customHeight="1">
      <c r="A206" s="1239">
        <v>1</v>
      </c>
      <c r="B206" s="1240" t="s">
        <v>79</v>
      </c>
      <c r="C206" s="1241" t="s">
        <v>80</v>
      </c>
      <c r="D206" s="1242">
        <v>1.5</v>
      </c>
      <c r="E206" s="1243">
        <f>+O85</f>
        <v>0</v>
      </c>
      <c r="F206" s="1244">
        <f t="shared" ref="F206:F210" si="13">+E206*D206</f>
        <v>0</v>
      </c>
      <c r="G206" s="171"/>
      <c r="I206" s="411"/>
      <c r="J206" s="417" t="s">
        <v>34</v>
      </c>
      <c r="K206" s="413" t="s">
        <v>12</v>
      </c>
      <c r="L206" s="498">
        <v>1</v>
      </c>
      <c r="M206" s="414"/>
      <c r="N206" s="546">
        <v>0.05</v>
      </c>
      <c r="O206" s="455"/>
    </row>
    <row r="207" spans="1:15" ht="18" customHeight="1">
      <c r="A207" s="1245">
        <v>2</v>
      </c>
      <c r="B207" s="1246" t="s">
        <v>465</v>
      </c>
      <c r="C207" s="1247" t="s">
        <v>80</v>
      </c>
      <c r="D207" s="1248">
        <v>1</v>
      </c>
      <c r="E207" s="1249">
        <f>+O77</f>
        <v>0</v>
      </c>
      <c r="F207" s="1250">
        <f t="shared" si="13"/>
        <v>0</v>
      </c>
      <c r="G207" s="171"/>
      <c r="I207" s="411"/>
      <c r="J207" s="418" t="s">
        <v>25</v>
      </c>
      <c r="K207" s="421" t="s">
        <v>14</v>
      </c>
      <c r="L207" s="498">
        <v>0.1</v>
      </c>
      <c r="M207" s="414"/>
      <c r="N207" s="546"/>
      <c r="O207" s="455"/>
    </row>
    <row r="208" spans="1:15" ht="18.75" customHeight="1" thickBot="1">
      <c r="A208" s="1251">
        <v>3</v>
      </c>
      <c r="B208" s="1246" t="s">
        <v>81</v>
      </c>
      <c r="C208" s="1247" t="s">
        <v>86</v>
      </c>
      <c r="D208" s="1248">
        <v>0.2</v>
      </c>
      <c r="E208" s="1249">
        <f>+O107</f>
        <v>0</v>
      </c>
      <c r="F208" s="1250">
        <f t="shared" si="13"/>
        <v>0</v>
      </c>
      <c r="G208" s="171"/>
      <c r="I208" s="415"/>
      <c r="J208" s="419" t="s">
        <v>17</v>
      </c>
      <c r="K208" s="426" t="s">
        <v>12</v>
      </c>
      <c r="L208" s="499">
        <v>1</v>
      </c>
      <c r="M208" s="460"/>
      <c r="N208" s="842">
        <v>0.125</v>
      </c>
      <c r="O208" s="461"/>
    </row>
    <row r="209" spans="1:15" ht="16.5" thickBot="1">
      <c r="A209" s="1245">
        <v>4</v>
      </c>
      <c r="B209" s="1252" t="s">
        <v>159</v>
      </c>
      <c r="C209" s="1247" t="s">
        <v>80</v>
      </c>
      <c r="D209" s="1248">
        <v>2</v>
      </c>
      <c r="E209" s="1249">
        <f>+O166</f>
        <v>0</v>
      </c>
      <c r="F209" s="1250">
        <f t="shared" si="13"/>
        <v>0</v>
      </c>
      <c r="G209" s="171"/>
      <c r="I209" s="495" t="s">
        <v>5</v>
      </c>
      <c r="J209" s="496"/>
      <c r="K209" s="543"/>
      <c r="L209" s="543"/>
      <c r="M209" s="496"/>
      <c r="N209" s="834"/>
      <c r="O209" s="471"/>
    </row>
    <row r="210" spans="1:15" ht="15.75" thickBot="1">
      <c r="A210" s="1245">
        <v>5</v>
      </c>
      <c r="B210" s="1252" t="s">
        <v>160</v>
      </c>
      <c r="C210" s="1253" t="s">
        <v>3</v>
      </c>
      <c r="D210" s="1248">
        <f>1.3*1</f>
        <v>1.3</v>
      </c>
      <c r="E210" s="1249">
        <f>+O174</f>
        <v>0</v>
      </c>
      <c r="F210" s="1250">
        <f t="shared" si="13"/>
        <v>0</v>
      </c>
      <c r="G210" s="171"/>
    </row>
    <row r="211" spans="1:15" ht="16.5" thickBot="1">
      <c r="A211" s="1251">
        <v>6</v>
      </c>
      <c r="B211" s="1252" t="s">
        <v>171</v>
      </c>
      <c r="C211" s="1253" t="s">
        <v>3</v>
      </c>
      <c r="D211" s="1248">
        <f>1*1.2</f>
        <v>1.2</v>
      </c>
      <c r="E211" s="1249">
        <f>+O373</f>
        <v>0</v>
      </c>
      <c r="F211" s="1250">
        <f t="shared" ref="F211:F220" si="14">+D211*E211</f>
        <v>0</v>
      </c>
      <c r="G211" s="171"/>
      <c r="I211" s="406" t="s">
        <v>6</v>
      </c>
      <c r="J211" s="407" t="s">
        <v>7</v>
      </c>
      <c r="K211" s="439" t="s">
        <v>0</v>
      </c>
      <c r="L211" s="439" t="s">
        <v>8</v>
      </c>
      <c r="M211" s="407"/>
      <c r="N211" s="839" t="s">
        <v>387</v>
      </c>
      <c r="O211" s="409"/>
    </row>
    <row r="212" spans="1:15" ht="27.75" customHeight="1">
      <c r="A212" s="1245">
        <v>7</v>
      </c>
      <c r="B212" s="1246" t="s">
        <v>150</v>
      </c>
      <c r="C212" s="1247" t="s">
        <v>4</v>
      </c>
      <c r="D212" s="1248">
        <f>1*1.2*1</f>
        <v>1.2</v>
      </c>
      <c r="E212" s="1249">
        <f>+O332</f>
        <v>0</v>
      </c>
      <c r="F212" s="1250">
        <f t="shared" si="14"/>
        <v>0</v>
      </c>
      <c r="G212" s="171"/>
      <c r="I212" s="410"/>
      <c r="J212" s="416" t="s">
        <v>172</v>
      </c>
      <c r="K212" s="420" t="s">
        <v>40</v>
      </c>
      <c r="L212" s="545"/>
      <c r="M212" s="585"/>
      <c r="N212" s="830"/>
      <c r="O212" s="481"/>
    </row>
    <row r="213" spans="1:15" ht="23.25" customHeight="1">
      <c r="A213" s="1245">
        <v>8</v>
      </c>
      <c r="B213" s="1246" t="s">
        <v>135</v>
      </c>
      <c r="C213" s="1247" t="s">
        <v>4</v>
      </c>
      <c r="D213" s="1248">
        <f>+((D210+D211)*0.12+D212)*1.3</f>
        <v>1.9500000000000002</v>
      </c>
      <c r="E213" s="1249">
        <f>+O92</f>
        <v>0</v>
      </c>
      <c r="F213" s="1250">
        <f t="shared" si="14"/>
        <v>0</v>
      </c>
      <c r="G213" s="171"/>
      <c r="I213" s="411"/>
      <c r="J213" s="642" t="s">
        <v>26</v>
      </c>
      <c r="K213" s="421" t="s">
        <v>27</v>
      </c>
      <c r="L213" s="498">
        <v>7</v>
      </c>
      <c r="M213" s="414"/>
      <c r="N213" s="546">
        <v>1.03</v>
      </c>
      <c r="O213" s="455"/>
    </row>
    <row r="214" spans="1:15" ht="19.5" customHeight="1">
      <c r="A214" s="1251">
        <v>9</v>
      </c>
      <c r="B214" s="1246" t="s">
        <v>83</v>
      </c>
      <c r="C214" s="1247" t="s">
        <v>4</v>
      </c>
      <c r="D214" s="1248">
        <f>+D213</f>
        <v>1.9500000000000002</v>
      </c>
      <c r="E214" s="1249">
        <f>+O100</f>
        <v>0</v>
      </c>
      <c r="F214" s="1250">
        <f t="shared" si="14"/>
        <v>0</v>
      </c>
      <c r="G214" s="171"/>
      <c r="I214" s="411"/>
      <c r="J214" s="418" t="s">
        <v>28</v>
      </c>
      <c r="K214" s="421" t="s">
        <v>40</v>
      </c>
      <c r="L214" s="498">
        <v>0.55000000000000004</v>
      </c>
      <c r="M214" s="414"/>
      <c r="N214" s="546">
        <v>1.03</v>
      </c>
      <c r="O214" s="455"/>
    </row>
    <row r="215" spans="1:15" ht="20.100000000000001" customHeight="1">
      <c r="A215" s="1245">
        <v>10</v>
      </c>
      <c r="B215" s="1246" t="s">
        <v>466</v>
      </c>
      <c r="C215" s="1247" t="s">
        <v>4</v>
      </c>
      <c r="D215" s="1248">
        <f>1.3*0.15</f>
        <v>0.19500000000000001</v>
      </c>
      <c r="E215" s="1249">
        <f>+O209</f>
        <v>0</v>
      </c>
      <c r="F215" s="1250">
        <f t="shared" si="14"/>
        <v>0</v>
      </c>
      <c r="G215" s="171"/>
      <c r="I215" s="411"/>
      <c r="J215" s="418" t="s">
        <v>398</v>
      </c>
      <c r="K215" s="421" t="s">
        <v>40</v>
      </c>
      <c r="L215" s="498">
        <v>0.84</v>
      </c>
      <c r="M215" s="414"/>
      <c r="N215" s="546">
        <v>1.03</v>
      </c>
      <c r="O215" s="455"/>
    </row>
    <row r="216" spans="1:15" ht="20.100000000000001" customHeight="1">
      <c r="A216" s="1245">
        <v>11</v>
      </c>
      <c r="B216" s="1246" t="s">
        <v>467</v>
      </c>
      <c r="C216" s="1253" t="s">
        <v>3</v>
      </c>
      <c r="D216" s="1248">
        <f>1.2</f>
        <v>1.2</v>
      </c>
      <c r="E216" s="1254">
        <f>+O148</f>
        <v>0</v>
      </c>
      <c r="F216" s="1250">
        <f t="shared" si="14"/>
        <v>0</v>
      </c>
      <c r="G216" s="171"/>
      <c r="I216" s="411"/>
      <c r="J216" s="418" t="s">
        <v>41</v>
      </c>
      <c r="K216" s="421" t="s">
        <v>29</v>
      </c>
      <c r="L216" s="498">
        <v>180</v>
      </c>
      <c r="M216" s="414"/>
      <c r="N216" s="546">
        <v>1.03</v>
      </c>
      <c r="O216" s="455"/>
    </row>
    <row r="217" spans="1:15" ht="21.75" customHeight="1">
      <c r="A217" s="1251">
        <v>12</v>
      </c>
      <c r="B217" s="1246" t="s">
        <v>145</v>
      </c>
      <c r="C217" s="1247" t="s">
        <v>63</v>
      </c>
      <c r="D217" s="1248">
        <v>80</v>
      </c>
      <c r="E217" s="1254">
        <f>+O183</f>
        <v>0</v>
      </c>
      <c r="F217" s="1250">
        <f t="shared" si="14"/>
        <v>0</v>
      </c>
      <c r="G217" s="171"/>
      <c r="I217" s="411"/>
      <c r="J217" s="418" t="s">
        <v>74</v>
      </c>
      <c r="K217" s="421" t="s">
        <v>18</v>
      </c>
      <c r="L217" s="498">
        <f>3%*50</f>
        <v>1.5</v>
      </c>
      <c r="M217" s="414"/>
      <c r="N217" s="546">
        <v>2.0299999999999998</v>
      </c>
      <c r="O217" s="455"/>
    </row>
    <row r="218" spans="1:15" ht="20.25" customHeight="1">
      <c r="A218" s="1245">
        <v>13</v>
      </c>
      <c r="B218" s="1246" t="s">
        <v>84</v>
      </c>
      <c r="C218" s="1253" t="s">
        <v>3</v>
      </c>
      <c r="D218" s="1248">
        <v>1.2</v>
      </c>
      <c r="E218" s="1254">
        <f>+O140</f>
        <v>0</v>
      </c>
      <c r="F218" s="1250">
        <f t="shared" si="14"/>
        <v>0</v>
      </c>
      <c r="G218" s="171"/>
      <c r="I218" s="411"/>
      <c r="J218" s="418" t="s">
        <v>73</v>
      </c>
      <c r="K218" s="421" t="s">
        <v>18</v>
      </c>
      <c r="L218" s="498">
        <f>1.5*7</f>
        <v>10.5</v>
      </c>
      <c r="M218" s="414"/>
      <c r="N218" s="546">
        <v>1.03</v>
      </c>
      <c r="O218" s="455"/>
    </row>
    <row r="219" spans="1:15" ht="21.75" customHeight="1">
      <c r="A219" s="1245">
        <v>14</v>
      </c>
      <c r="B219" s="1246" t="s">
        <v>468</v>
      </c>
      <c r="C219" s="1247" t="s">
        <v>4</v>
      </c>
      <c r="D219" s="1248">
        <v>0.66</v>
      </c>
      <c r="E219" s="1254">
        <f>+O128</f>
        <v>0</v>
      </c>
      <c r="F219" s="1250">
        <f t="shared" si="14"/>
        <v>0</v>
      </c>
      <c r="G219" s="171"/>
      <c r="I219" s="411"/>
      <c r="J219" s="418" t="s">
        <v>35</v>
      </c>
      <c r="K219" s="421" t="s">
        <v>12</v>
      </c>
      <c r="L219" s="498">
        <v>1</v>
      </c>
      <c r="M219" s="414"/>
      <c r="N219" s="546">
        <f>1/8</f>
        <v>0.125</v>
      </c>
      <c r="O219" s="455"/>
    </row>
    <row r="220" spans="1:15" ht="22.5" customHeight="1" thickBot="1">
      <c r="A220" s="1255">
        <v>15</v>
      </c>
      <c r="B220" s="1256" t="s">
        <v>173</v>
      </c>
      <c r="C220" s="1257" t="s">
        <v>4</v>
      </c>
      <c r="D220" s="1258">
        <v>0.25</v>
      </c>
      <c r="E220" s="1259">
        <f>+O223</f>
        <v>0</v>
      </c>
      <c r="F220" s="1260">
        <f t="shared" si="14"/>
        <v>0</v>
      </c>
      <c r="G220" s="171"/>
      <c r="I220" s="411"/>
      <c r="J220" s="418" t="s">
        <v>25</v>
      </c>
      <c r="K220" s="421" t="s">
        <v>14</v>
      </c>
      <c r="L220" s="498">
        <v>0.1</v>
      </c>
      <c r="M220" s="414"/>
      <c r="N220" s="546"/>
      <c r="O220" s="455"/>
    </row>
    <row r="221" spans="1:15" ht="15.75" thickBot="1">
      <c r="A221" s="1261"/>
      <c r="B221" s="1262"/>
      <c r="C221" s="1261"/>
      <c r="D221" s="1263"/>
      <c r="E221" s="1264"/>
      <c r="F221" s="1265"/>
      <c r="G221" s="171"/>
      <c r="I221" s="411"/>
      <c r="J221" s="418" t="s">
        <v>42</v>
      </c>
      <c r="K221" s="421" t="s">
        <v>12</v>
      </c>
      <c r="L221" s="498">
        <v>1</v>
      </c>
      <c r="M221" s="414"/>
      <c r="N221" s="546">
        <v>0.3</v>
      </c>
      <c r="O221" s="455"/>
    </row>
    <row r="222" spans="1:15" ht="15.75" thickBot="1">
      <c r="A222" s="1859" t="s">
        <v>5</v>
      </c>
      <c r="B222" s="1860"/>
      <c r="C222" s="1860"/>
      <c r="D222" s="1860"/>
      <c r="E222" s="1893"/>
      <c r="F222" s="1266">
        <f>SUM(F206:F220)</f>
        <v>0</v>
      </c>
      <c r="G222" s="171"/>
      <c r="I222" s="415"/>
      <c r="J222" s="419" t="s">
        <v>21</v>
      </c>
      <c r="K222" s="426" t="s">
        <v>23</v>
      </c>
      <c r="L222" s="499">
        <v>0.5</v>
      </c>
      <c r="M222" s="460"/>
      <c r="N222" s="842">
        <v>0</v>
      </c>
      <c r="O222" s="461"/>
    </row>
    <row r="223" spans="1:15" ht="16.5" thickBot="1">
      <c r="A223" s="1158"/>
      <c r="B223" s="1158"/>
      <c r="C223" s="1158"/>
      <c r="D223" s="1158"/>
      <c r="E223" s="1158"/>
      <c r="F223" s="558"/>
      <c r="G223" s="171"/>
      <c r="I223" s="495" t="s">
        <v>5</v>
      </c>
      <c r="J223" s="496"/>
      <c r="K223" s="543"/>
      <c r="L223" s="543"/>
      <c r="M223" s="496"/>
      <c r="N223" s="834"/>
      <c r="O223" s="471"/>
    </row>
    <row r="224" spans="1:15" ht="16.5" customHeight="1" thickBot="1">
      <c r="A224" s="1159"/>
      <c r="B224" s="1159"/>
      <c r="C224" s="1159"/>
      <c r="D224" s="1159"/>
      <c r="E224" s="1159"/>
      <c r="F224" s="558"/>
      <c r="G224" s="171"/>
    </row>
    <row r="225" spans="1:26" ht="33.75" customHeight="1" thickBot="1">
      <c r="I225" s="406" t="s">
        <v>6</v>
      </c>
      <c r="J225" s="407" t="s">
        <v>7</v>
      </c>
      <c r="K225" s="439" t="s">
        <v>0</v>
      </c>
      <c r="L225" s="439" t="s">
        <v>8</v>
      </c>
      <c r="M225" s="407"/>
      <c r="N225" s="839" t="s">
        <v>387</v>
      </c>
      <c r="O225" s="409"/>
      <c r="P225" s="100"/>
      <c r="Q225" s="101"/>
      <c r="R225" s="57"/>
    </row>
    <row r="226" spans="1:26" ht="31.5">
      <c r="A226" s="1158"/>
      <c r="B226" s="1158"/>
      <c r="C226" s="1158"/>
      <c r="D226" s="1158"/>
      <c r="E226" s="1158"/>
      <c r="F226" s="558"/>
      <c r="G226" s="171"/>
      <c r="I226" s="410"/>
      <c r="J226" s="416" t="s">
        <v>402</v>
      </c>
      <c r="K226" s="420" t="s">
        <v>0</v>
      </c>
      <c r="L226" s="545"/>
      <c r="M226" s="585"/>
      <c r="N226" s="822"/>
      <c r="O226" s="481"/>
      <c r="P226" s="100"/>
      <c r="Q226" s="114"/>
      <c r="R226" s="57"/>
    </row>
    <row r="227" spans="1:26" ht="18.75" customHeight="1" thickBot="1">
      <c r="A227" s="1177"/>
      <c r="B227" s="1177"/>
      <c r="C227" s="1177"/>
      <c r="D227" s="1177"/>
      <c r="E227" s="1177"/>
      <c r="F227" s="558"/>
      <c r="G227" s="171"/>
      <c r="I227" s="411"/>
      <c r="J227" s="417" t="s">
        <v>56</v>
      </c>
      <c r="K227" s="421" t="s">
        <v>80</v>
      </c>
      <c r="L227" s="498">
        <v>3.8000000000000003</v>
      </c>
      <c r="M227" s="414"/>
      <c r="N227" s="546"/>
      <c r="O227" s="455"/>
      <c r="P227" s="100"/>
      <c r="Q227" s="114"/>
      <c r="R227" s="57"/>
    </row>
    <row r="228" spans="1:26" ht="16.5" thickBot="1">
      <c r="A228" s="1908" t="s">
        <v>475</v>
      </c>
      <c r="B228" s="1909"/>
      <c r="C228" s="1909"/>
      <c r="D228" s="1909"/>
      <c r="E228" s="1909"/>
      <c r="F228" s="1910"/>
      <c r="G228" s="171"/>
      <c r="I228" s="415"/>
      <c r="J228" s="457" t="s">
        <v>32</v>
      </c>
      <c r="K228" s="426" t="s">
        <v>186</v>
      </c>
      <c r="L228" s="499">
        <v>1</v>
      </c>
      <c r="M228" s="460"/>
      <c r="N228" s="845">
        <v>0.5</v>
      </c>
      <c r="O228" s="461"/>
      <c r="P228" s="101"/>
      <c r="Q228" s="101"/>
      <c r="R228" s="57"/>
    </row>
    <row r="229" spans="1:26" ht="18.95" customHeight="1" thickBot="1">
      <c r="A229" s="1911" t="s">
        <v>476</v>
      </c>
      <c r="B229" s="1912"/>
      <c r="C229" s="1912"/>
      <c r="D229" s="1912"/>
      <c r="E229" s="1912"/>
      <c r="F229" s="1913"/>
      <c r="G229" s="171"/>
      <c r="I229" s="495" t="s">
        <v>5</v>
      </c>
      <c r="J229" s="496"/>
      <c r="K229" s="543"/>
      <c r="L229" s="543"/>
      <c r="M229" s="496"/>
      <c r="N229" s="834"/>
      <c r="O229" s="471"/>
      <c r="P229" s="101"/>
      <c r="Q229" s="101"/>
      <c r="R229" s="57"/>
    </row>
    <row r="230" spans="1:26" s="102" customFormat="1" ht="15.75" thickBot="1">
      <c r="A230" s="394"/>
      <c r="B230" s="395"/>
      <c r="C230" s="394"/>
      <c r="D230" s="1296"/>
      <c r="E230" s="394"/>
      <c r="F230" s="568"/>
      <c r="G230" s="171"/>
      <c r="H230" s="73"/>
      <c r="I230" s="73"/>
      <c r="J230" s="73"/>
      <c r="K230" s="81"/>
      <c r="L230" s="81"/>
      <c r="M230" s="80"/>
      <c r="N230" s="81"/>
      <c r="O230" s="80"/>
      <c r="P230" s="101"/>
      <c r="Q230" s="101"/>
      <c r="R230" s="57"/>
      <c r="S230" s="80"/>
      <c r="T230" s="80"/>
      <c r="U230" s="80"/>
      <c r="V230" s="80"/>
      <c r="W230" s="80"/>
      <c r="X230" s="80"/>
      <c r="Y230" s="80"/>
      <c r="Z230" s="80"/>
    </row>
    <row r="231" spans="1:26" ht="21.75" customHeight="1" thickBot="1">
      <c r="A231" s="387" t="s">
        <v>423</v>
      </c>
      <c r="B231" s="388" t="s">
        <v>7</v>
      </c>
      <c r="C231" s="389" t="s">
        <v>0</v>
      </c>
      <c r="D231" s="656" t="s">
        <v>8</v>
      </c>
      <c r="E231" s="389" t="s">
        <v>2</v>
      </c>
      <c r="F231" s="547" t="s">
        <v>9</v>
      </c>
      <c r="G231" s="171"/>
      <c r="I231" s="406" t="s">
        <v>6</v>
      </c>
      <c r="J231" s="407" t="s">
        <v>7</v>
      </c>
      <c r="K231" s="439" t="s">
        <v>0</v>
      </c>
      <c r="L231" s="439" t="s">
        <v>8</v>
      </c>
      <c r="M231" s="407"/>
      <c r="N231" s="839" t="s">
        <v>387</v>
      </c>
      <c r="O231" s="409"/>
    </row>
    <row r="232" spans="1:26" ht="15.95" customHeight="1">
      <c r="A232" s="1166">
        <v>1</v>
      </c>
      <c r="B232" s="1176" t="s">
        <v>79</v>
      </c>
      <c r="C232" s="1168" t="s">
        <v>80</v>
      </c>
      <c r="D232" s="1297">
        <f>+(4.1+2.6)*2</f>
        <v>13.399999999999999</v>
      </c>
      <c r="E232" s="1298">
        <f>+O85</f>
        <v>0</v>
      </c>
      <c r="F232" s="1299">
        <f>+D232*E232</f>
        <v>0</v>
      </c>
      <c r="G232" s="171"/>
      <c r="I232" s="410"/>
      <c r="J232" s="416" t="s">
        <v>184</v>
      </c>
      <c r="K232" s="420" t="s">
        <v>23</v>
      </c>
      <c r="L232" s="545"/>
      <c r="M232" s="585"/>
      <c r="N232" s="830"/>
      <c r="O232" s="481"/>
    </row>
    <row r="233" spans="1:26" ht="30">
      <c r="A233" s="548">
        <v>2</v>
      </c>
      <c r="B233" s="810" t="s">
        <v>130</v>
      </c>
      <c r="C233" s="398" t="s">
        <v>80</v>
      </c>
      <c r="D233" s="1300">
        <v>4</v>
      </c>
      <c r="E233" s="1301">
        <f>+O77</f>
        <v>0</v>
      </c>
      <c r="F233" s="1302">
        <f t="shared" ref="F233:F252" si="15">+D233*E233</f>
        <v>0</v>
      </c>
      <c r="G233" s="171"/>
      <c r="I233" s="411"/>
      <c r="J233" s="418" t="s">
        <v>141</v>
      </c>
      <c r="K233" s="421" t="s">
        <v>4</v>
      </c>
      <c r="L233" s="498">
        <f>1.4*0.2*0.4</f>
        <v>0.11199999999999999</v>
      </c>
      <c r="M233" s="414"/>
      <c r="N233" s="546">
        <v>1.05</v>
      </c>
      <c r="O233" s="455"/>
    </row>
    <row r="234" spans="1:26">
      <c r="A234" s="538">
        <v>3</v>
      </c>
      <c r="B234" s="348" t="s">
        <v>81</v>
      </c>
      <c r="C234" s="398" t="s">
        <v>62</v>
      </c>
      <c r="D234" s="1303">
        <v>0.35</v>
      </c>
      <c r="E234" s="1301">
        <f>+E840</f>
        <v>0</v>
      </c>
      <c r="F234" s="1302">
        <f t="shared" si="15"/>
        <v>0</v>
      </c>
      <c r="G234" s="171"/>
      <c r="I234" s="411"/>
      <c r="J234" s="418" t="s">
        <v>39</v>
      </c>
      <c r="K234" s="421" t="s">
        <v>63</v>
      </c>
      <c r="L234" s="498">
        <v>12</v>
      </c>
      <c r="M234" s="414"/>
      <c r="N234" s="546">
        <v>1.05</v>
      </c>
      <c r="O234" s="455"/>
    </row>
    <row r="235" spans="1:26" ht="14.25" customHeight="1">
      <c r="A235" s="548">
        <v>4</v>
      </c>
      <c r="B235" s="1304" t="s">
        <v>477</v>
      </c>
      <c r="C235" s="398" t="s">
        <v>62</v>
      </c>
      <c r="D235" s="1303">
        <v>0.25</v>
      </c>
      <c r="E235" s="1301">
        <f>+O201</f>
        <v>0</v>
      </c>
      <c r="F235" s="1302">
        <f t="shared" si="15"/>
        <v>0</v>
      </c>
      <c r="G235" s="171"/>
      <c r="I235" s="411"/>
      <c r="J235" s="418" t="s">
        <v>56</v>
      </c>
      <c r="K235" s="421" t="s">
        <v>31</v>
      </c>
      <c r="L235" s="498">
        <v>2</v>
      </c>
      <c r="M235" s="414"/>
      <c r="N235" s="546"/>
      <c r="O235" s="455"/>
    </row>
    <row r="236" spans="1:26">
      <c r="A236" s="548">
        <v>5</v>
      </c>
      <c r="B236" s="348" t="s">
        <v>159</v>
      </c>
      <c r="C236" s="398" t="s">
        <v>80</v>
      </c>
      <c r="D236" s="1303">
        <f>+(3.1+1.6)*2</f>
        <v>9.4</v>
      </c>
      <c r="E236" s="1301">
        <f>+O166</f>
        <v>0</v>
      </c>
      <c r="F236" s="1302">
        <f t="shared" si="15"/>
        <v>0</v>
      </c>
      <c r="G236" s="171"/>
      <c r="I236" s="411"/>
      <c r="J236" s="418" t="s">
        <v>54</v>
      </c>
      <c r="K236" s="421" t="s">
        <v>11</v>
      </c>
      <c r="L236" s="498">
        <v>0.1</v>
      </c>
      <c r="M236" s="414"/>
      <c r="N236" s="546"/>
      <c r="O236" s="455"/>
    </row>
    <row r="237" spans="1:26" ht="22.5" customHeight="1">
      <c r="A237" s="538">
        <v>6</v>
      </c>
      <c r="B237" s="348" t="s">
        <v>160</v>
      </c>
      <c r="C237" s="398" t="s">
        <v>3</v>
      </c>
      <c r="D237" s="1303">
        <f>3.1*1.6</f>
        <v>4.9600000000000009</v>
      </c>
      <c r="E237" s="1301">
        <f>+O174</f>
        <v>0</v>
      </c>
      <c r="F237" s="1302">
        <f t="shared" si="15"/>
        <v>0</v>
      </c>
      <c r="G237" s="171"/>
      <c r="I237" s="411"/>
      <c r="J237" s="418" t="s">
        <v>19</v>
      </c>
      <c r="K237" s="421" t="s">
        <v>10</v>
      </c>
      <c r="L237" s="498">
        <v>0.05</v>
      </c>
      <c r="M237" s="414"/>
      <c r="N237" s="546"/>
      <c r="O237" s="455"/>
    </row>
    <row r="238" spans="1:26" ht="28.5" customHeight="1">
      <c r="A238" s="548">
        <v>7</v>
      </c>
      <c r="B238" s="348" t="s">
        <v>171</v>
      </c>
      <c r="C238" s="398" t="s">
        <v>3</v>
      </c>
      <c r="D238" s="1303">
        <v>1</v>
      </c>
      <c r="E238" s="1301">
        <f>+O373</f>
        <v>0</v>
      </c>
      <c r="F238" s="1302">
        <f t="shared" si="15"/>
        <v>0</v>
      </c>
      <c r="G238" s="171"/>
      <c r="I238" s="411"/>
      <c r="J238" s="418" t="s">
        <v>20</v>
      </c>
      <c r="K238" s="421" t="s">
        <v>18</v>
      </c>
      <c r="L238" s="498">
        <v>0.1</v>
      </c>
      <c r="M238" s="414"/>
      <c r="N238" s="546"/>
      <c r="O238" s="455"/>
    </row>
    <row r="239" spans="1:26" ht="21.75" customHeight="1">
      <c r="A239" s="548">
        <v>8</v>
      </c>
      <c r="B239" s="348" t="s">
        <v>150</v>
      </c>
      <c r="C239" s="398" t="s">
        <v>4</v>
      </c>
      <c r="D239" s="1303">
        <f>3.1*1.6*1.9</f>
        <v>9.4240000000000013</v>
      </c>
      <c r="E239" s="1301">
        <f>+O332</f>
        <v>0</v>
      </c>
      <c r="F239" s="1302">
        <f t="shared" si="15"/>
        <v>0</v>
      </c>
      <c r="G239" s="171"/>
      <c r="I239" s="411"/>
      <c r="J239" s="418" t="s">
        <v>60</v>
      </c>
      <c r="K239" s="421" t="s">
        <v>31</v>
      </c>
      <c r="L239" s="498">
        <v>2</v>
      </c>
      <c r="M239" s="414"/>
      <c r="N239" s="546"/>
      <c r="O239" s="455"/>
      <c r="U239" s="102"/>
      <c r="V239" s="102"/>
      <c r="W239" s="102"/>
      <c r="X239" s="102"/>
      <c r="Y239" s="102"/>
      <c r="Z239" s="102"/>
    </row>
    <row r="240" spans="1:26" ht="22.5" customHeight="1" thickBot="1">
      <c r="A240" s="538">
        <v>9</v>
      </c>
      <c r="B240" s="348" t="s">
        <v>135</v>
      </c>
      <c r="C240" s="398" t="s">
        <v>4</v>
      </c>
      <c r="D240" s="1303">
        <f>+(D237*0.12+D238*0.12)*1.1+D239*1.3</f>
        <v>13.037920000000003</v>
      </c>
      <c r="E240" s="1301">
        <f>+O92</f>
        <v>0</v>
      </c>
      <c r="F240" s="1302">
        <f t="shared" si="15"/>
        <v>0</v>
      </c>
      <c r="G240" s="171"/>
      <c r="I240" s="415"/>
      <c r="J240" s="457" t="s">
        <v>24</v>
      </c>
      <c r="K240" s="433" t="s">
        <v>66</v>
      </c>
      <c r="L240" s="458">
        <v>0.13</v>
      </c>
      <c r="M240" s="460"/>
      <c r="N240" s="458"/>
      <c r="O240" s="461"/>
      <c r="S240" s="102"/>
      <c r="T240" s="102"/>
    </row>
    <row r="241" spans="1:29" ht="16.5" thickBot="1">
      <c r="A241" s="548">
        <v>10</v>
      </c>
      <c r="B241" s="348" t="s">
        <v>83</v>
      </c>
      <c r="C241" s="398" t="s">
        <v>4</v>
      </c>
      <c r="D241" s="1303">
        <f>+D240</f>
        <v>13.037920000000003</v>
      </c>
      <c r="E241" s="1301">
        <f>+O100</f>
        <v>0</v>
      </c>
      <c r="F241" s="1302">
        <f t="shared" si="15"/>
        <v>0</v>
      </c>
      <c r="G241" s="171"/>
      <c r="I241" s="643" t="s">
        <v>5</v>
      </c>
      <c r="J241" s="644"/>
      <c r="K241" s="826"/>
      <c r="L241" s="826"/>
      <c r="M241" s="644"/>
      <c r="N241" s="846"/>
      <c r="O241" s="646"/>
    </row>
    <row r="242" spans="1:29" ht="15.75" thickBot="1">
      <c r="A242" s="548">
        <v>11</v>
      </c>
      <c r="B242" s="1305" t="s">
        <v>174</v>
      </c>
      <c r="C242" s="398" t="s">
        <v>4</v>
      </c>
      <c r="D242" s="1303">
        <f>3.1*1.6*0.15</f>
        <v>0.74400000000000011</v>
      </c>
      <c r="E242" s="1301">
        <f>+O209</f>
        <v>0</v>
      </c>
      <c r="F242" s="1302">
        <f t="shared" si="15"/>
        <v>0</v>
      </c>
      <c r="G242" s="171"/>
    </row>
    <row r="243" spans="1:29" ht="20.25" customHeight="1" thickBot="1">
      <c r="A243" s="538">
        <v>12</v>
      </c>
      <c r="B243" s="1336" t="s">
        <v>176</v>
      </c>
      <c r="C243" s="1337" t="s">
        <v>3</v>
      </c>
      <c r="D243" s="1338">
        <f>2.82*1.42</f>
        <v>4.0043999999999995</v>
      </c>
      <c r="E243" s="1339">
        <v>0</v>
      </c>
      <c r="F243" s="1302">
        <f t="shared" si="15"/>
        <v>0</v>
      </c>
      <c r="G243" s="171"/>
      <c r="I243" s="406" t="s">
        <v>6</v>
      </c>
      <c r="J243" s="407" t="s">
        <v>7</v>
      </c>
      <c r="K243" s="439" t="s">
        <v>0</v>
      </c>
      <c r="L243" s="439" t="s">
        <v>8</v>
      </c>
      <c r="M243" s="407"/>
      <c r="N243" s="839" t="s">
        <v>387</v>
      </c>
      <c r="O243" s="409"/>
      <c r="S243" s="1920" t="s">
        <v>479</v>
      </c>
      <c r="T243" s="1920"/>
      <c r="U243" s="1920"/>
      <c r="V243" s="1920"/>
      <c r="W243" s="1920"/>
      <c r="X243" s="1920"/>
      <c r="Y243" s="1179"/>
      <c r="Z243" s="1179"/>
      <c r="AA243" s="728"/>
      <c r="AB243" s="728"/>
      <c r="AC243" s="728"/>
    </row>
    <row r="244" spans="1:29" ht="15.75" customHeight="1">
      <c r="A244" s="548">
        <v>13</v>
      </c>
      <c r="B244" s="348" t="s">
        <v>161</v>
      </c>
      <c r="C244" s="398" t="s">
        <v>4</v>
      </c>
      <c r="D244" s="1303">
        <f>2.82*1.42*0.2</f>
        <v>0.80087999999999993</v>
      </c>
      <c r="E244" s="1301">
        <f>+O366</f>
        <v>0</v>
      </c>
      <c r="F244" s="1302">
        <f t="shared" si="15"/>
        <v>0</v>
      </c>
      <c r="G244" s="171"/>
      <c r="I244" s="410"/>
      <c r="J244" s="416" t="s">
        <v>295</v>
      </c>
      <c r="K244" s="420" t="s">
        <v>22</v>
      </c>
      <c r="L244" s="545"/>
      <c r="M244" s="585"/>
      <c r="N244" s="830"/>
      <c r="O244" s="481"/>
      <c r="S244" s="1180" t="s">
        <v>258</v>
      </c>
      <c r="T244" s="1181" t="s">
        <v>259</v>
      </c>
      <c r="U244" s="1181" t="s">
        <v>260</v>
      </c>
      <c r="V244" s="1181" t="s">
        <v>261</v>
      </c>
      <c r="W244" s="1181" t="s">
        <v>262</v>
      </c>
      <c r="X244" s="1181" t="s">
        <v>233</v>
      </c>
      <c r="Y244" s="1179"/>
      <c r="Z244" s="1179"/>
      <c r="AA244" s="728"/>
      <c r="AB244" s="728"/>
      <c r="AC244" s="728"/>
    </row>
    <row r="245" spans="1:29">
      <c r="A245" s="548">
        <v>14</v>
      </c>
      <c r="B245" s="348" t="s">
        <v>151</v>
      </c>
      <c r="C245" s="398" t="s">
        <v>80</v>
      </c>
      <c r="D245" s="1303">
        <v>1</v>
      </c>
      <c r="E245" s="1301">
        <v>0</v>
      </c>
      <c r="F245" s="1302">
        <f t="shared" si="15"/>
        <v>0</v>
      </c>
      <c r="G245" s="171"/>
      <c r="I245" s="411"/>
      <c r="J245" s="417" t="s">
        <v>49</v>
      </c>
      <c r="K245" s="421" t="s">
        <v>31</v>
      </c>
      <c r="L245" s="498">
        <v>0.5</v>
      </c>
      <c r="M245" s="414"/>
      <c r="N245" s="546"/>
      <c r="O245" s="455"/>
      <c r="S245" s="1182" t="s">
        <v>263</v>
      </c>
      <c r="T245" s="996">
        <v>2</v>
      </c>
      <c r="U245" s="1147">
        <v>3.1</v>
      </c>
      <c r="V245" s="1147">
        <v>0.2</v>
      </c>
      <c r="W245" s="1147">
        <v>1.5</v>
      </c>
      <c r="X245" s="1147">
        <f t="shared" ref="X245:X253" si="16">+PRODUCT(T245:W245)</f>
        <v>1.8600000000000003</v>
      </c>
      <c r="Y245" s="1179"/>
      <c r="Z245" s="1179"/>
      <c r="AA245" s="728"/>
      <c r="AB245" s="728"/>
      <c r="AC245" s="728"/>
    </row>
    <row r="246" spans="1:29">
      <c r="A246" s="538">
        <v>15</v>
      </c>
      <c r="B246" s="348" t="s">
        <v>141</v>
      </c>
      <c r="C246" s="398" t="s">
        <v>4</v>
      </c>
      <c r="D246" s="684">
        <f>+X254</f>
        <v>4.6540884991765381</v>
      </c>
      <c r="E246" s="1301">
        <f>+O128</f>
        <v>0</v>
      </c>
      <c r="F246" s="1302">
        <f>+D246*E246</f>
        <v>0</v>
      </c>
      <c r="G246" s="171"/>
      <c r="I246" s="411"/>
      <c r="J246" s="417" t="s">
        <v>54</v>
      </c>
      <c r="K246" s="421" t="s">
        <v>11</v>
      </c>
      <c r="L246" s="498">
        <v>0.25</v>
      </c>
      <c r="M246" s="414"/>
      <c r="N246" s="546"/>
      <c r="O246" s="455"/>
      <c r="S246" s="1182" t="s">
        <v>264</v>
      </c>
      <c r="T246" s="996">
        <v>2</v>
      </c>
      <c r="U246" s="1147">
        <v>1.4</v>
      </c>
      <c r="V246" s="1147">
        <v>0.2</v>
      </c>
      <c r="W246" s="1147">
        <v>1.5</v>
      </c>
      <c r="X246" s="1147">
        <f t="shared" si="16"/>
        <v>0.83999999999999986</v>
      </c>
      <c r="Y246" s="1179"/>
      <c r="Z246" s="1179"/>
      <c r="AA246" s="728"/>
      <c r="AB246" s="728"/>
      <c r="AC246" s="728"/>
    </row>
    <row r="247" spans="1:29" ht="30">
      <c r="A247" s="548">
        <v>16</v>
      </c>
      <c r="B247" s="810" t="s">
        <v>162</v>
      </c>
      <c r="C247" s="398" t="s">
        <v>3</v>
      </c>
      <c r="D247" s="1303">
        <f>2.82*1.42</f>
        <v>4.0043999999999995</v>
      </c>
      <c r="E247" s="1301">
        <f>+O148</f>
        <v>0</v>
      </c>
      <c r="F247" s="1302">
        <f t="shared" si="15"/>
        <v>0</v>
      </c>
      <c r="G247" s="171"/>
      <c r="I247" s="411"/>
      <c r="J247" s="417" t="s">
        <v>19</v>
      </c>
      <c r="K247" s="421" t="s">
        <v>10</v>
      </c>
      <c r="L247" s="498">
        <v>0.1</v>
      </c>
      <c r="M247" s="414"/>
      <c r="N247" s="546"/>
      <c r="O247" s="455"/>
      <c r="S247" s="1182" t="s">
        <v>480</v>
      </c>
      <c r="T247" s="996">
        <v>2</v>
      </c>
      <c r="U247" s="1147">
        <v>1.4</v>
      </c>
      <c r="V247" s="996">
        <v>0.2</v>
      </c>
      <c r="W247" s="996">
        <v>0.3</v>
      </c>
      <c r="X247" s="1147">
        <f t="shared" si="16"/>
        <v>0.16799999999999998</v>
      </c>
      <c r="Y247" s="1179"/>
      <c r="Z247" s="1179"/>
      <c r="AA247" s="728"/>
      <c r="AB247" s="728"/>
      <c r="AC247" s="728"/>
    </row>
    <row r="248" spans="1:29" ht="17.45" customHeight="1">
      <c r="A248" s="548">
        <v>17</v>
      </c>
      <c r="B248" s="348" t="s">
        <v>145</v>
      </c>
      <c r="C248" s="398" t="s">
        <v>63</v>
      </c>
      <c r="D248" s="1303">
        <f>+AA271</f>
        <v>333.40640000000002</v>
      </c>
      <c r="E248" s="1301">
        <f>+O183</f>
        <v>0</v>
      </c>
      <c r="F248" s="1302">
        <f t="shared" si="15"/>
        <v>0</v>
      </c>
      <c r="G248" s="171"/>
      <c r="I248" s="411"/>
      <c r="J248" s="417" t="s">
        <v>60</v>
      </c>
      <c r="K248" s="421" t="s">
        <v>31</v>
      </c>
      <c r="L248" s="498">
        <v>0.5</v>
      </c>
      <c r="M248" s="414"/>
      <c r="N248" s="546">
        <v>1.03</v>
      </c>
      <c r="O248" s="455"/>
      <c r="S248" s="1182" t="s">
        <v>481</v>
      </c>
      <c r="T248" s="996">
        <v>2</v>
      </c>
      <c r="U248" s="996">
        <v>3.1</v>
      </c>
      <c r="V248" s="996">
        <v>0.2</v>
      </c>
      <c r="W248" s="996">
        <v>0.3</v>
      </c>
      <c r="X248" s="1147">
        <f t="shared" si="16"/>
        <v>0.37200000000000005</v>
      </c>
      <c r="Y248" s="1179"/>
      <c r="Z248" s="1179"/>
      <c r="AA248" s="728"/>
      <c r="AB248" s="728"/>
      <c r="AC248" s="728"/>
    </row>
    <row r="249" spans="1:29" ht="27.75" customHeight="1">
      <c r="A249" s="538">
        <v>18</v>
      </c>
      <c r="B249" s="348" t="s">
        <v>164</v>
      </c>
      <c r="C249" s="398" t="s">
        <v>62</v>
      </c>
      <c r="D249" s="1303">
        <v>4</v>
      </c>
      <c r="E249" s="1301">
        <f>+G458</f>
        <v>0</v>
      </c>
      <c r="F249" s="1302">
        <f t="shared" si="15"/>
        <v>0</v>
      </c>
      <c r="G249" s="171"/>
      <c r="I249" s="411"/>
      <c r="J249" s="417" t="s">
        <v>69</v>
      </c>
      <c r="K249" s="421" t="s">
        <v>66</v>
      </c>
      <c r="L249" s="498">
        <v>2</v>
      </c>
      <c r="M249" s="414"/>
      <c r="N249" s="546"/>
      <c r="O249" s="455"/>
      <c r="S249" s="1182" t="s">
        <v>482</v>
      </c>
      <c r="T249" s="996">
        <v>2</v>
      </c>
      <c r="U249" s="1147">
        <v>1.4</v>
      </c>
      <c r="V249" s="996">
        <v>0.25</v>
      </c>
      <c r="W249" s="996">
        <v>0.25</v>
      </c>
      <c r="X249" s="1147">
        <f t="shared" si="16"/>
        <v>0.17499999999999999</v>
      </c>
      <c r="Y249" s="1179"/>
      <c r="Z249" s="1179"/>
      <c r="AA249" s="728"/>
      <c r="AB249" s="728"/>
      <c r="AC249" s="728"/>
    </row>
    <row r="250" spans="1:29" ht="36.75" customHeight="1">
      <c r="A250" s="548">
        <v>19</v>
      </c>
      <c r="B250" s="348" t="s">
        <v>84</v>
      </c>
      <c r="C250" s="398" t="s">
        <v>3</v>
      </c>
      <c r="D250" s="1303">
        <f>+(1.5*2.82+1.5*1.42)*2</f>
        <v>12.719999999999999</v>
      </c>
      <c r="E250" s="1301">
        <f>+O140</f>
        <v>0</v>
      </c>
      <c r="F250" s="1302">
        <f t="shared" si="15"/>
        <v>0</v>
      </c>
      <c r="G250" s="171"/>
      <c r="I250" s="411"/>
      <c r="J250" s="417" t="s">
        <v>51</v>
      </c>
      <c r="K250" s="421" t="s">
        <v>23</v>
      </c>
      <c r="L250" s="498">
        <v>1.5</v>
      </c>
      <c r="M250" s="414"/>
      <c r="N250" s="546"/>
      <c r="O250" s="455"/>
      <c r="S250" s="1182" t="s">
        <v>483</v>
      </c>
      <c r="T250" s="996">
        <v>2</v>
      </c>
      <c r="U250" s="996">
        <v>3.1</v>
      </c>
      <c r="V250" s="996">
        <v>0.25</v>
      </c>
      <c r="W250" s="996">
        <v>0.25</v>
      </c>
      <c r="X250" s="1147">
        <f t="shared" si="16"/>
        <v>0.38750000000000001</v>
      </c>
      <c r="Y250" s="1179"/>
      <c r="Z250" s="1179"/>
      <c r="AA250" s="728"/>
      <c r="AB250" s="728"/>
      <c r="AC250" s="728"/>
    </row>
    <row r="251" spans="1:29">
      <c r="A251" s="548">
        <v>20</v>
      </c>
      <c r="B251" s="1304" t="s">
        <v>165</v>
      </c>
      <c r="C251" s="398" t="s">
        <v>62</v>
      </c>
      <c r="D251" s="1303">
        <v>1</v>
      </c>
      <c r="E251" s="1301">
        <f>+O229</f>
        <v>0</v>
      </c>
      <c r="F251" s="1302">
        <f t="shared" si="15"/>
        <v>0</v>
      </c>
      <c r="G251" s="171"/>
      <c r="I251" s="411"/>
      <c r="J251" s="417" t="s">
        <v>24</v>
      </c>
      <c r="K251" s="421" t="s">
        <v>12</v>
      </c>
      <c r="L251" s="498">
        <v>1</v>
      </c>
      <c r="M251" s="414"/>
      <c r="N251" s="841">
        <v>0.05</v>
      </c>
      <c r="O251" s="455"/>
      <c r="S251" s="1182" t="s">
        <v>272</v>
      </c>
      <c r="T251" s="996">
        <v>1</v>
      </c>
      <c r="U251" s="997">
        <v>3.1</v>
      </c>
      <c r="V251" s="159">
        <v>1.6</v>
      </c>
      <c r="W251" s="1147">
        <v>0.15</v>
      </c>
      <c r="X251" s="1147">
        <f t="shared" si="16"/>
        <v>0.74400000000000011</v>
      </c>
      <c r="Y251" s="1179"/>
      <c r="Z251" s="1179"/>
      <c r="AA251" s="728"/>
      <c r="AB251" s="728"/>
      <c r="AC251" s="728"/>
    </row>
    <row r="252" spans="1:29" ht="27" customHeight="1" thickBot="1">
      <c r="A252" s="1306">
        <v>21</v>
      </c>
      <c r="B252" s="1307" t="s">
        <v>478</v>
      </c>
      <c r="C252" s="400" t="s">
        <v>62</v>
      </c>
      <c r="D252" s="1308">
        <v>1</v>
      </c>
      <c r="E252" s="1309">
        <v>0</v>
      </c>
      <c r="F252" s="1310">
        <f t="shared" si="15"/>
        <v>0</v>
      </c>
      <c r="G252" s="171"/>
      <c r="I252" s="411"/>
      <c r="J252" s="417" t="s">
        <v>25</v>
      </c>
      <c r="K252" s="421" t="s">
        <v>14</v>
      </c>
      <c r="L252" s="498">
        <v>0.1</v>
      </c>
      <c r="M252" s="414"/>
      <c r="N252" s="546"/>
      <c r="O252" s="455"/>
      <c r="S252" s="1182" t="s">
        <v>484</v>
      </c>
      <c r="T252" s="996">
        <v>1</v>
      </c>
      <c r="U252" s="997">
        <v>2</v>
      </c>
      <c r="V252" s="159">
        <v>0.5</v>
      </c>
      <c r="W252" s="1147">
        <v>0.15</v>
      </c>
      <c r="X252" s="1147">
        <f t="shared" si="16"/>
        <v>0.15</v>
      </c>
      <c r="Y252" s="1179"/>
      <c r="Z252" s="1179"/>
      <c r="AA252" s="728"/>
      <c r="AB252" s="728"/>
      <c r="AC252" s="728"/>
    </row>
    <row r="253" spans="1:29" ht="26.1" customHeight="1" thickBot="1">
      <c r="A253" s="1311"/>
      <c r="B253" s="395"/>
      <c r="C253" s="1312"/>
      <c r="D253" s="1313"/>
      <c r="E253" s="1314"/>
      <c r="F253" s="568"/>
      <c r="G253" s="171"/>
      <c r="I253" s="411"/>
      <c r="J253" s="417" t="s">
        <v>70</v>
      </c>
      <c r="K253" s="421" t="s">
        <v>12</v>
      </c>
      <c r="L253" s="498">
        <v>8</v>
      </c>
      <c r="M253" s="414"/>
      <c r="N253" s="546">
        <v>1</v>
      </c>
      <c r="O253" s="455"/>
      <c r="S253" s="1182" t="s">
        <v>273</v>
      </c>
      <c r="T253" s="996">
        <v>-1</v>
      </c>
      <c r="U253" s="160">
        <f>+(PI()*0.6*0.6)/4</f>
        <v>0.28274333882308139</v>
      </c>
      <c r="V253" s="161"/>
      <c r="W253" s="1147">
        <v>0.15</v>
      </c>
      <c r="X253" s="1147">
        <f t="shared" si="16"/>
        <v>-4.2411500823462206E-2</v>
      </c>
      <c r="Y253" s="1179"/>
      <c r="Z253" s="1179"/>
      <c r="AA253" s="728"/>
      <c r="AB253" s="728"/>
      <c r="AC253" s="728"/>
    </row>
    <row r="254" spans="1:29" ht="27.6" customHeight="1" thickBot="1">
      <c r="A254" s="1798" t="s">
        <v>5</v>
      </c>
      <c r="B254" s="1799"/>
      <c r="C254" s="1799"/>
      <c r="D254" s="1799"/>
      <c r="E254" s="1799"/>
      <c r="F254" s="1315">
        <f>+ROUND(SUM(F232:F252),0)</f>
        <v>0</v>
      </c>
      <c r="G254" s="171"/>
      <c r="I254" s="415"/>
      <c r="J254" s="457" t="s">
        <v>65</v>
      </c>
      <c r="K254" s="426" t="s">
        <v>12</v>
      </c>
      <c r="L254" s="499">
        <v>8</v>
      </c>
      <c r="M254" s="460"/>
      <c r="N254" s="847">
        <v>1</v>
      </c>
      <c r="O254" s="461"/>
      <c r="S254" s="1921" t="s">
        <v>223</v>
      </c>
      <c r="T254" s="1922"/>
      <c r="U254" s="1922"/>
      <c r="V254" s="1922"/>
      <c r="W254" s="1923"/>
      <c r="X254" s="1186">
        <f>SUM(X245:X253)</f>
        <v>4.6540884991765381</v>
      </c>
      <c r="Y254" s="1179"/>
      <c r="Z254" s="1179"/>
      <c r="AA254" s="728"/>
      <c r="AB254" s="728"/>
      <c r="AC254" s="728"/>
    </row>
    <row r="255" spans="1:29" ht="20.25" customHeight="1" thickBot="1">
      <c r="A255" s="1178"/>
      <c r="B255" s="1178"/>
      <c r="C255" s="1178"/>
      <c r="D255" s="1178"/>
      <c r="E255" s="1178"/>
      <c r="F255" s="1195"/>
      <c r="G255" s="171"/>
      <c r="I255" s="643" t="s">
        <v>5</v>
      </c>
      <c r="J255" s="644"/>
      <c r="K255" s="826"/>
      <c r="L255" s="826"/>
      <c r="M255" s="644"/>
      <c r="N255" s="846"/>
      <c r="O255" s="646"/>
      <c r="S255" s="728"/>
      <c r="T255" s="1179"/>
      <c r="U255" s="1179"/>
      <c r="V255" s="1179"/>
      <c r="W255" s="1179"/>
      <c r="X255" s="1179"/>
      <c r="Y255" s="1179"/>
      <c r="Z255" s="1179"/>
      <c r="AA255" s="728"/>
      <c r="AB255" s="728"/>
      <c r="AC255" s="728"/>
    </row>
    <row r="256" spans="1:29" ht="26.1" customHeight="1" thickBot="1">
      <c r="A256" s="1233"/>
      <c r="B256" s="1233"/>
      <c r="C256" s="1233"/>
      <c r="D256" s="1233"/>
      <c r="E256" s="1233"/>
      <c r="F256" s="117"/>
      <c r="G256" s="171"/>
      <c r="S256" s="728"/>
      <c r="T256" s="1179"/>
      <c r="U256" s="1179"/>
      <c r="V256" s="1179"/>
      <c r="W256" s="1179"/>
      <c r="X256" s="1179"/>
      <c r="Y256" s="1179"/>
      <c r="Z256" s="1179"/>
      <c r="AA256" s="728"/>
      <c r="AB256" s="728"/>
      <c r="AC256" s="728"/>
    </row>
    <row r="257" spans="1:29" ht="24" customHeight="1" thickBot="1">
      <c r="A257" s="1795" t="s">
        <v>501</v>
      </c>
      <c r="B257" s="1796"/>
      <c r="C257" s="1796"/>
      <c r="D257" s="1796"/>
      <c r="E257" s="1796"/>
      <c r="F257" s="1797"/>
      <c r="G257" s="171"/>
      <c r="I257" s="406" t="s">
        <v>6</v>
      </c>
      <c r="J257" s="407" t="s">
        <v>7</v>
      </c>
      <c r="K257" s="439" t="s">
        <v>0</v>
      </c>
      <c r="L257" s="439" t="s">
        <v>8</v>
      </c>
      <c r="M257" s="407"/>
      <c r="N257" s="839" t="s">
        <v>387</v>
      </c>
      <c r="O257" s="409"/>
      <c r="S257" s="1835" t="s">
        <v>485</v>
      </c>
      <c r="T257" s="1835"/>
      <c r="U257" s="1835"/>
      <c r="V257" s="1835"/>
      <c r="W257" s="1835"/>
      <c r="X257" s="1835"/>
      <c r="Y257" s="1835"/>
      <c r="Z257" s="1835"/>
      <c r="AA257" s="1835"/>
      <c r="AB257" s="728"/>
      <c r="AC257" s="728"/>
    </row>
    <row r="258" spans="1:29" ht="31.5" customHeight="1" thickBot="1">
      <c r="A258" s="394"/>
      <c r="B258" s="395"/>
      <c r="C258" s="394"/>
      <c r="D258" s="1296"/>
      <c r="E258" s="1320"/>
      <c r="F258" s="568"/>
      <c r="G258" s="171"/>
      <c r="I258" s="410"/>
      <c r="J258" s="416" t="s">
        <v>188</v>
      </c>
      <c r="K258" s="420" t="s">
        <v>22</v>
      </c>
      <c r="L258" s="545"/>
      <c r="M258" s="585"/>
      <c r="N258" s="830"/>
      <c r="O258" s="481"/>
      <c r="S258" s="1929" t="s">
        <v>120</v>
      </c>
      <c r="T258" s="1929"/>
      <c r="U258" s="1188" t="s">
        <v>254</v>
      </c>
      <c r="V258" s="1188" t="s">
        <v>275</v>
      </c>
      <c r="W258" s="1189" t="s">
        <v>276</v>
      </c>
      <c r="X258" s="1189" t="s">
        <v>277</v>
      </c>
      <c r="Y258" s="1188" t="s">
        <v>224</v>
      </c>
      <c r="Z258" s="1188" t="s">
        <v>222</v>
      </c>
      <c r="AA258" s="1188" t="s">
        <v>486</v>
      </c>
      <c r="AB258" s="728"/>
      <c r="AC258" s="728"/>
    </row>
    <row r="259" spans="1:29" ht="33" customHeight="1">
      <c r="A259" s="602" t="s">
        <v>424</v>
      </c>
      <c r="B259" s="603" t="s">
        <v>7</v>
      </c>
      <c r="C259" s="604" t="s">
        <v>0</v>
      </c>
      <c r="D259" s="1321" t="s">
        <v>8</v>
      </c>
      <c r="E259" s="680" t="s">
        <v>2</v>
      </c>
      <c r="F259" s="605" t="s">
        <v>9</v>
      </c>
      <c r="G259" s="171"/>
      <c r="I259" s="411"/>
      <c r="J259" s="642" t="s">
        <v>26</v>
      </c>
      <c r="K259" s="421" t="s">
        <v>27</v>
      </c>
      <c r="L259" s="498">
        <v>6</v>
      </c>
      <c r="M259" s="414"/>
      <c r="N259" s="546">
        <v>0.05</v>
      </c>
      <c r="O259" s="455"/>
      <c r="S259" s="1931" t="s">
        <v>487</v>
      </c>
      <c r="T259" s="1190" t="s">
        <v>488</v>
      </c>
      <c r="U259" s="1019">
        <v>3.1</v>
      </c>
      <c r="V259" s="1147">
        <f>ROUND((1.5/0.2),0)</f>
        <v>8</v>
      </c>
      <c r="W259" s="1019">
        <v>2</v>
      </c>
      <c r="X259" s="1191">
        <f t="shared" ref="X259:X263" si="17">+PRODUCT(U259:W259)</f>
        <v>49.6</v>
      </c>
      <c r="Y259" s="1006" t="s">
        <v>227</v>
      </c>
      <c r="Z259" s="1006">
        <v>0.99399999999999999</v>
      </c>
      <c r="AA259" s="1182">
        <f t="shared" ref="AA259:AA269" si="18">+X259*Z259</f>
        <v>49.302399999999999</v>
      </c>
      <c r="AB259" s="728"/>
      <c r="AC259" s="728"/>
    </row>
    <row r="260" spans="1:29" ht="26.1" customHeight="1">
      <c r="A260" s="548">
        <v>1</v>
      </c>
      <c r="B260" s="348" t="s">
        <v>79</v>
      </c>
      <c r="C260" s="398" t="s">
        <v>80</v>
      </c>
      <c r="D260" s="1303">
        <v>8</v>
      </c>
      <c r="E260" s="1322">
        <f>+E232</f>
        <v>0</v>
      </c>
      <c r="F260" s="1302">
        <f>+E260*D260</f>
        <v>0</v>
      </c>
      <c r="G260" s="171"/>
      <c r="I260" s="411"/>
      <c r="J260" s="418" t="s">
        <v>28</v>
      </c>
      <c r="K260" s="421" t="s">
        <v>40</v>
      </c>
      <c r="L260" s="498">
        <v>1.2</v>
      </c>
      <c r="M260" s="414"/>
      <c r="N260" s="546">
        <v>0.05</v>
      </c>
      <c r="O260" s="455"/>
      <c r="S260" s="1931"/>
      <c r="T260" s="1190" t="s">
        <v>489</v>
      </c>
      <c r="U260" s="1019">
        <v>1.8</v>
      </c>
      <c r="V260" s="1147">
        <f>ROUND((3.1/0.2),0)</f>
        <v>16</v>
      </c>
      <c r="W260" s="1019">
        <v>2</v>
      </c>
      <c r="X260" s="1191">
        <f t="shared" si="17"/>
        <v>57.6</v>
      </c>
      <c r="Y260" s="1006" t="s">
        <v>227</v>
      </c>
      <c r="Z260" s="1006">
        <v>0.99399999999999999</v>
      </c>
      <c r="AA260" s="1182">
        <f t="shared" si="18"/>
        <v>57.254400000000004</v>
      </c>
      <c r="AB260" s="728"/>
      <c r="AC260" s="728"/>
    </row>
    <row r="261" spans="1:29" ht="30">
      <c r="A261" s="681">
        <v>2</v>
      </c>
      <c r="B261" s="810" t="s">
        <v>130</v>
      </c>
      <c r="C261" s="682" t="s">
        <v>80</v>
      </c>
      <c r="D261" s="1323">
        <v>2</v>
      </c>
      <c r="E261" s="1322">
        <f>+E233</f>
        <v>0</v>
      </c>
      <c r="F261" s="1324">
        <f>+D261*E261</f>
        <v>0</v>
      </c>
      <c r="G261" s="171"/>
      <c r="I261" s="411"/>
      <c r="J261" s="418" t="s">
        <v>189</v>
      </c>
      <c r="K261" s="421" t="s">
        <v>22</v>
      </c>
      <c r="L261" s="498">
        <v>1</v>
      </c>
      <c r="M261" s="414"/>
      <c r="N261" s="546"/>
      <c r="O261" s="455"/>
      <c r="S261" s="1931" t="s">
        <v>490</v>
      </c>
      <c r="T261" s="1190" t="s">
        <v>488</v>
      </c>
      <c r="U261" s="1019">
        <v>1.6</v>
      </c>
      <c r="V261" s="1147">
        <f>ROUND((1.5/0.2),0)</f>
        <v>8</v>
      </c>
      <c r="W261" s="1019">
        <v>2</v>
      </c>
      <c r="X261" s="1191">
        <f t="shared" si="17"/>
        <v>25.6</v>
      </c>
      <c r="Y261" s="1006" t="s">
        <v>227</v>
      </c>
      <c r="Z261" s="1006">
        <v>0.99399999999999999</v>
      </c>
      <c r="AA261" s="1182">
        <f t="shared" si="18"/>
        <v>25.446400000000001</v>
      </c>
      <c r="AB261" s="728"/>
      <c r="AC261" s="728"/>
    </row>
    <row r="262" spans="1:29" ht="30" customHeight="1">
      <c r="A262" s="548">
        <v>3</v>
      </c>
      <c r="B262" s="348" t="s">
        <v>159</v>
      </c>
      <c r="C262" s="398" t="s">
        <v>80</v>
      </c>
      <c r="D262" s="1303">
        <f>+(1.74+1.74)*2</f>
        <v>6.96</v>
      </c>
      <c r="E262" s="1322">
        <f>+E236</f>
        <v>0</v>
      </c>
      <c r="F262" s="1302">
        <f>+E262*D262</f>
        <v>0</v>
      </c>
      <c r="G262" s="171"/>
      <c r="I262" s="411"/>
      <c r="J262" s="417" t="s">
        <v>49</v>
      </c>
      <c r="K262" s="421" t="s">
        <v>31</v>
      </c>
      <c r="L262" s="498">
        <v>0.5</v>
      </c>
      <c r="M262" s="414"/>
      <c r="N262" s="546"/>
      <c r="O262" s="455"/>
      <c r="S262" s="1931"/>
      <c r="T262" s="1190" t="s">
        <v>489</v>
      </c>
      <c r="U262" s="1019">
        <v>1.8</v>
      </c>
      <c r="V262" s="1147">
        <f>ROUND((1.601/0.2),0)</f>
        <v>8</v>
      </c>
      <c r="W262" s="1019">
        <v>2</v>
      </c>
      <c r="X262" s="1191">
        <f t="shared" si="17"/>
        <v>28.8</v>
      </c>
      <c r="Y262" s="1006" t="s">
        <v>227</v>
      </c>
      <c r="Z262" s="1006">
        <v>0.99399999999999999</v>
      </c>
      <c r="AA262" s="1182">
        <f t="shared" si="18"/>
        <v>28.627200000000002</v>
      </c>
      <c r="AB262" s="728"/>
      <c r="AC262" s="728"/>
    </row>
    <row r="263" spans="1:29" ht="29.25" customHeight="1">
      <c r="A263" s="681">
        <v>4</v>
      </c>
      <c r="B263" s="348" t="s">
        <v>160</v>
      </c>
      <c r="C263" s="398" t="s">
        <v>3</v>
      </c>
      <c r="D263" s="1303">
        <f>1.74*1.74</f>
        <v>3.0276000000000001</v>
      </c>
      <c r="E263" s="1322">
        <f>+E237</f>
        <v>0</v>
      </c>
      <c r="F263" s="1302">
        <f>+E263*D263</f>
        <v>0</v>
      </c>
      <c r="G263" s="171"/>
      <c r="I263" s="411"/>
      <c r="J263" s="417" t="s">
        <v>54</v>
      </c>
      <c r="K263" s="421" t="s">
        <v>11</v>
      </c>
      <c r="L263" s="498">
        <v>0.25</v>
      </c>
      <c r="M263" s="414"/>
      <c r="N263" s="546"/>
      <c r="O263" s="455"/>
      <c r="S263" s="1931" t="s">
        <v>491</v>
      </c>
      <c r="T263" s="1190" t="s">
        <v>492</v>
      </c>
      <c r="U263" s="1019">
        <f>3.1+3.1+1.6+1.6</f>
        <v>9.4</v>
      </c>
      <c r="V263" s="1019">
        <v>4</v>
      </c>
      <c r="W263" s="1019">
        <v>1</v>
      </c>
      <c r="X263" s="1191">
        <f t="shared" si="17"/>
        <v>37.6</v>
      </c>
      <c r="Y263" s="1006" t="s">
        <v>227</v>
      </c>
      <c r="Z263" s="1006">
        <v>0.99399999999999999</v>
      </c>
      <c r="AA263" s="1182">
        <f t="shared" si="18"/>
        <v>37.374400000000001</v>
      </c>
      <c r="AB263" s="728"/>
      <c r="AC263" s="728"/>
    </row>
    <row r="264" spans="1:29" ht="25.5" customHeight="1">
      <c r="A264" s="548">
        <v>5</v>
      </c>
      <c r="B264" s="348" t="s">
        <v>150</v>
      </c>
      <c r="C264" s="398" t="s">
        <v>4</v>
      </c>
      <c r="D264" s="1303">
        <f>1.74*1.74*1.7+(0.12*0.1*(1.62*4))</f>
        <v>5.2246799999999993</v>
      </c>
      <c r="E264" s="1322">
        <f>+E239</f>
        <v>0</v>
      </c>
      <c r="F264" s="1302">
        <f t="shared" ref="F264:F272" si="19">+D264*E264</f>
        <v>0</v>
      </c>
      <c r="G264" s="171"/>
      <c r="I264" s="411"/>
      <c r="J264" s="417" t="s">
        <v>60</v>
      </c>
      <c r="K264" s="421" t="s">
        <v>31</v>
      </c>
      <c r="L264" s="498">
        <v>0.5</v>
      </c>
      <c r="M264" s="414"/>
      <c r="N264" s="546">
        <v>1.03</v>
      </c>
      <c r="O264" s="455"/>
      <c r="S264" s="1931"/>
      <c r="T264" s="1190" t="s">
        <v>493</v>
      </c>
      <c r="U264" s="1019">
        <v>0.5</v>
      </c>
      <c r="V264" s="1147">
        <f>ROUND((U263/0.2),0)</f>
        <v>47</v>
      </c>
      <c r="W264" s="1019">
        <v>1</v>
      </c>
      <c r="X264" s="1191">
        <f>+U264*(V264+W264)</f>
        <v>24</v>
      </c>
      <c r="Y264" s="1006" t="s">
        <v>240</v>
      </c>
      <c r="Z264" s="1006">
        <v>0.56000000000000005</v>
      </c>
      <c r="AA264" s="1192">
        <f t="shared" si="18"/>
        <v>13.440000000000001</v>
      </c>
      <c r="AB264" s="728"/>
      <c r="AC264" s="728"/>
    </row>
    <row r="265" spans="1:29">
      <c r="A265" s="681">
        <v>6</v>
      </c>
      <c r="B265" s="348" t="s">
        <v>135</v>
      </c>
      <c r="C265" s="398" t="s">
        <v>4</v>
      </c>
      <c r="D265" s="1303">
        <f>+((D263*0.12)+D264)*1.3</f>
        <v>7.2643895999999986</v>
      </c>
      <c r="E265" s="1322">
        <f>+E240</f>
        <v>0</v>
      </c>
      <c r="F265" s="1302">
        <f t="shared" si="19"/>
        <v>0</v>
      </c>
      <c r="G265" s="171"/>
      <c r="I265" s="411"/>
      <c r="J265" s="417" t="s">
        <v>51</v>
      </c>
      <c r="K265" s="421" t="s">
        <v>23</v>
      </c>
      <c r="L265" s="498">
        <v>0.5</v>
      </c>
      <c r="M265" s="414"/>
      <c r="N265" s="546"/>
      <c r="O265" s="455"/>
      <c r="S265" s="1931" t="s">
        <v>494</v>
      </c>
      <c r="T265" s="1190" t="s">
        <v>492</v>
      </c>
      <c r="U265" s="1019">
        <f>3.1+3.1+1.6+1.6</f>
        <v>9.4</v>
      </c>
      <c r="V265" s="1019">
        <v>4</v>
      </c>
      <c r="W265" s="1019">
        <v>1</v>
      </c>
      <c r="X265" s="1191">
        <f t="shared" ref="X265" si="20">+PRODUCT(U265:W265)</f>
        <v>37.6</v>
      </c>
      <c r="Y265" s="1006" t="s">
        <v>227</v>
      </c>
      <c r="Z265" s="1006">
        <v>0.99399999999999999</v>
      </c>
      <c r="AA265" s="1182">
        <f t="shared" si="18"/>
        <v>37.374400000000001</v>
      </c>
      <c r="AB265" s="728"/>
      <c r="AC265" s="728"/>
    </row>
    <row r="266" spans="1:29">
      <c r="A266" s="548">
        <v>7</v>
      </c>
      <c r="B266" s="348" t="s">
        <v>83</v>
      </c>
      <c r="C266" s="398" t="s">
        <v>4</v>
      </c>
      <c r="D266" s="1303">
        <f>+D265</f>
        <v>7.2643895999999986</v>
      </c>
      <c r="E266" s="1322">
        <f>+E241</f>
        <v>0</v>
      </c>
      <c r="F266" s="1302">
        <f t="shared" si="19"/>
        <v>0</v>
      </c>
      <c r="G266" s="171"/>
      <c r="I266" s="411"/>
      <c r="J266" s="647" t="s">
        <v>24</v>
      </c>
      <c r="K266" s="648" t="s">
        <v>12</v>
      </c>
      <c r="L266" s="515">
        <v>1</v>
      </c>
      <c r="M266" s="649"/>
      <c r="N266" s="650">
        <v>0.05</v>
      </c>
      <c r="O266" s="651"/>
      <c r="S266" s="1931"/>
      <c r="T266" s="1190" t="s">
        <v>493</v>
      </c>
      <c r="U266" s="1019">
        <v>0.5</v>
      </c>
      <c r="V266" s="1147">
        <f>ROUND((U265/0.15),0)</f>
        <v>63</v>
      </c>
      <c r="W266" s="1019">
        <v>1</v>
      </c>
      <c r="X266" s="1191">
        <f>+U266*(V266+W266)</f>
        <v>32</v>
      </c>
      <c r="Y266" s="1006" t="s">
        <v>240</v>
      </c>
      <c r="Z266" s="1006">
        <v>0.56000000000000005</v>
      </c>
      <c r="AA266" s="1192">
        <f t="shared" si="18"/>
        <v>17.920000000000002</v>
      </c>
      <c r="AB266" s="728"/>
      <c r="AC266" s="728"/>
    </row>
    <row r="267" spans="1:29" ht="21.6" customHeight="1" thickBot="1">
      <c r="A267" s="681">
        <v>8</v>
      </c>
      <c r="B267" s="348" t="s">
        <v>161</v>
      </c>
      <c r="C267" s="398" t="s">
        <v>4</v>
      </c>
      <c r="D267" s="1303">
        <f>1.5*1.5*0.2+(0.12*(1.62*4)*0.1)</f>
        <v>0.52776000000000001</v>
      </c>
      <c r="E267" s="1322">
        <f>+E244</f>
        <v>0</v>
      </c>
      <c r="F267" s="1302">
        <f t="shared" si="19"/>
        <v>0</v>
      </c>
      <c r="G267" s="171"/>
      <c r="I267" s="415"/>
      <c r="J267" s="652" t="s">
        <v>25</v>
      </c>
      <c r="K267" s="653" t="s">
        <v>14</v>
      </c>
      <c r="L267" s="520">
        <v>0.1</v>
      </c>
      <c r="M267" s="654"/>
      <c r="N267" s="653"/>
      <c r="O267" s="655"/>
      <c r="S267" s="1932" t="s">
        <v>495</v>
      </c>
      <c r="T267" s="1190" t="s">
        <v>496</v>
      </c>
      <c r="U267" s="1019">
        <v>3.1</v>
      </c>
      <c r="V267" s="1147">
        <f>ROUND((1.6/0.15),0)</f>
        <v>11</v>
      </c>
      <c r="W267" s="1019">
        <v>1</v>
      </c>
      <c r="X267" s="1191">
        <f t="shared" ref="X267:X269" si="21">+PRODUCT(U267:W267)</f>
        <v>34.1</v>
      </c>
      <c r="Y267" s="1006" t="s">
        <v>243</v>
      </c>
      <c r="Z267" s="1006">
        <v>1.552</v>
      </c>
      <c r="AA267" s="1182">
        <f t="shared" si="18"/>
        <v>52.923200000000001</v>
      </c>
      <c r="AB267" s="728"/>
      <c r="AC267" s="728"/>
    </row>
    <row r="268" spans="1:29" ht="30.6" customHeight="1" thickBot="1">
      <c r="A268" s="548">
        <v>9</v>
      </c>
      <c r="B268" s="348" t="s">
        <v>84</v>
      </c>
      <c r="C268" s="398" t="s">
        <v>3</v>
      </c>
      <c r="D268" s="1303">
        <f>1.7*1.5*4+1.5*1.5</f>
        <v>12.45</v>
      </c>
      <c r="E268" s="1322">
        <f>+E250</f>
        <v>0</v>
      </c>
      <c r="F268" s="1302">
        <f t="shared" si="19"/>
        <v>0</v>
      </c>
      <c r="G268" s="171"/>
      <c r="I268" s="643" t="s">
        <v>5</v>
      </c>
      <c r="J268" s="644"/>
      <c r="K268" s="826"/>
      <c r="L268" s="826"/>
      <c r="M268" s="644"/>
      <c r="N268" s="846"/>
      <c r="O268" s="646"/>
      <c r="S268" s="1933"/>
      <c r="T268" s="1190" t="s">
        <v>497</v>
      </c>
      <c r="U268" s="1019">
        <v>1.6</v>
      </c>
      <c r="V268" s="1147">
        <f>ROUND((3.1/0.15),0)</f>
        <v>21</v>
      </c>
      <c r="W268" s="1019">
        <v>1</v>
      </c>
      <c r="X268" s="1191">
        <f t="shared" si="21"/>
        <v>33.6</v>
      </c>
      <c r="Y268" s="1006" t="s">
        <v>227</v>
      </c>
      <c r="Z268" s="1006">
        <v>0.99399999999999999</v>
      </c>
      <c r="AA268" s="1182">
        <f t="shared" si="18"/>
        <v>33.398400000000002</v>
      </c>
      <c r="AB268" s="728">
        <f>+AA267+AA268+AA269</f>
        <v>90.667200000000008</v>
      </c>
      <c r="AC268" s="728">
        <f>1.6*3.1</f>
        <v>4.9600000000000009</v>
      </c>
    </row>
    <row r="269" spans="1:29" ht="21" customHeight="1">
      <c r="A269" s="681">
        <v>10</v>
      </c>
      <c r="B269" s="348" t="s">
        <v>145</v>
      </c>
      <c r="C269" s="398" t="s">
        <v>63</v>
      </c>
      <c r="D269" s="684">
        <f>+Y283</f>
        <v>139.50887998109638</v>
      </c>
      <c r="E269" s="1322">
        <f>+E248</f>
        <v>0</v>
      </c>
      <c r="F269" s="1302">
        <f t="shared" si="19"/>
        <v>0</v>
      </c>
      <c r="G269" s="171"/>
      <c r="S269" s="1933"/>
      <c r="T269" s="1190" t="s">
        <v>498</v>
      </c>
      <c r="U269" s="1019">
        <v>0.7</v>
      </c>
      <c r="V269" s="1019">
        <v>4</v>
      </c>
      <c r="W269" s="1019">
        <v>1</v>
      </c>
      <c r="X269" s="1191">
        <f t="shared" si="21"/>
        <v>2.8</v>
      </c>
      <c r="Y269" s="1006" t="s">
        <v>243</v>
      </c>
      <c r="Z269" s="1006">
        <v>1.552</v>
      </c>
      <c r="AA269" s="1182">
        <f t="shared" si="18"/>
        <v>4.3456000000000001</v>
      </c>
      <c r="AB269" s="728">
        <f>+AC269*AB268/AC268</f>
        <v>24.860361290322576</v>
      </c>
      <c r="AC269" s="728">
        <f>0.5*2+0.6*0.6</f>
        <v>1.3599999999999999</v>
      </c>
    </row>
    <row r="270" spans="1:29" ht="27.75" customHeight="1" thickBot="1">
      <c r="A270" s="548">
        <v>11</v>
      </c>
      <c r="B270" s="348" t="s">
        <v>141</v>
      </c>
      <c r="C270" s="398" t="s">
        <v>4</v>
      </c>
      <c r="D270" s="684">
        <f>+X291</f>
        <v>1.85382</v>
      </c>
      <c r="E270" s="1322">
        <f>+E246</f>
        <v>0</v>
      </c>
      <c r="F270" s="1302">
        <f t="shared" si="19"/>
        <v>0</v>
      </c>
      <c r="G270" s="171"/>
      <c r="S270" s="1934"/>
      <c r="T270" s="1190" t="s">
        <v>499</v>
      </c>
      <c r="U270" s="1019"/>
      <c r="V270" s="1019"/>
      <c r="W270" s="1019"/>
      <c r="X270" s="1019"/>
      <c r="Y270" s="1019"/>
      <c r="Z270" s="1190"/>
      <c r="AA270" s="1190">
        <v>-24</v>
      </c>
      <c r="AB270" s="728"/>
      <c r="AC270" s="728"/>
    </row>
    <row r="271" spans="1:29" ht="31.5" customHeight="1" thickBot="1">
      <c r="A271" s="681">
        <v>12</v>
      </c>
      <c r="B271" s="348" t="s">
        <v>164</v>
      </c>
      <c r="C271" s="398" t="s">
        <v>86</v>
      </c>
      <c r="D271" s="1303">
        <f>1.5/0.5</f>
        <v>3</v>
      </c>
      <c r="E271" s="1322">
        <f>+E249</f>
        <v>0</v>
      </c>
      <c r="F271" s="1302">
        <f t="shared" si="19"/>
        <v>0</v>
      </c>
      <c r="G271" s="171"/>
      <c r="I271" s="406" t="s">
        <v>6</v>
      </c>
      <c r="J271" s="407" t="s">
        <v>7</v>
      </c>
      <c r="K271" s="439" t="s">
        <v>0</v>
      </c>
      <c r="L271" s="439" t="s">
        <v>8</v>
      </c>
      <c r="M271" s="407"/>
      <c r="N271" s="839" t="s">
        <v>387</v>
      </c>
      <c r="O271" s="409"/>
      <c r="S271" s="1921" t="s">
        <v>223</v>
      </c>
      <c r="T271" s="1922"/>
      <c r="U271" s="1922"/>
      <c r="V271" s="1922"/>
      <c r="W271" s="1922"/>
      <c r="X271" s="1922"/>
      <c r="Y271" s="1922"/>
      <c r="Z271" s="1923"/>
      <c r="AA271" s="1193">
        <f>SUM(AA259:AA270)</f>
        <v>333.40640000000002</v>
      </c>
      <c r="AB271" s="728"/>
      <c r="AC271" s="728"/>
    </row>
    <row r="272" spans="1:29" ht="32.25" customHeight="1" thickBot="1">
      <c r="A272" s="553">
        <v>13</v>
      </c>
      <c r="B272" s="1307" t="s">
        <v>502</v>
      </c>
      <c r="C272" s="400" t="s">
        <v>86</v>
      </c>
      <c r="D272" s="1308">
        <v>1</v>
      </c>
      <c r="E272" s="1325">
        <f>+E251</f>
        <v>0</v>
      </c>
      <c r="F272" s="1310">
        <f t="shared" si="19"/>
        <v>0</v>
      </c>
      <c r="G272" s="171"/>
      <c r="I272" s="410"/>
      <c r="J272" s="416" t="s">
        <v>190</v>
      </c>
      <c r="K272" s="420" t="s">
        <v>23</v>
      </c>
      <c r="L272" s="545"/>
      <c r="M272" s="585"/>
      <c r="N272" s="830"/>
      <c r="O272" s="481"/>
    </row>
    <row r="273" spans="1:27" ht="21" customHeight="1" thickBot="1">
      <c r="A273" s="1326"/>
      <c r="B273" s="1327"/>
      <c r="C273" s="564"/>
      <c r="D273" s="1328"/>
      <c r="E273" s="1329"/>
      <c r="F273" s="615"/>
      <c r="G273" s="171"/>
      <c r="I273" s="411"/>
      <c r="J273" s="418" t="s">
        <v>141</v>
      </c>
      <c r="K273" s="421" t="s">
        <v>4</v>
      </c>
      <c r="L273" s="498">
        <f>0.25*0.25*0.1*4</f>
        <v>2.5000000000000001E-2</v>
      </c>
      <c r="M273" s="414"/>
      <c r="N273" s="546">
        <v>1.05</v>
      </c>
      <c r="O273" s="455"/>
      <c r="S273" s="1936" t="s">
        <v>503</v>
      </c>
      <c r="T273" s="1937"/>
      <c r="U273" s="1937"/>
      <c r="V273" s="1937"/>
      <c r="W273" s="1937"/>
      <c r="X273" s="1937"/>
      <c r="Y273" s="1937"/>
      <c r="Z273" s="1938"/>
      <c r="AA273" s="728"/>
    </row>
    <row r="274" spans="1:27" ht="31.5" customHeight="1" thickBot="1">
      <c r="A274" s="1798" t="s">
        <v>5</v>
      </c>
      <c r="B274" s="1799"/>
      <c r="C274" s="1799"/>
      <c r="D274" s="1799"/>
      <c r="E274" s="1799"/>
      <c r="F274" s="616">
        <f>SUM(F260:F272)</f>
        <v>0</v>
      </c>
      <c r="G274" s="171"/>
      <c r="I274" s="411"/>
      <c r="J274" s="418" t="s">
        <v>56</v>
      </c>
      <c r="K274" s="421" t="s">
        <v>31</v>
      </c>
      <c r="L274" s="498">
        <v>1</v>
      </c>
      <c r="M274" s="414"/>
      <c r="N274" s="546"/>
      <c r="O274" s="455"/>
      <c r="S274" s="1818" t="s">
        <v>120</v>
      </c>
      <c r="T274" s="1819"/>
      <c r="U274" s="1196" t="s">
        <v>219</v>
      </c>
      <c r="V274" s="1196" t="s">
        <v>1</v>
      </c>
      <c r="W274" s="1197" t="s">
        <v>221</v>
      </c>
      <c r="X274" s="1197" t="s">
        <v>222</v>
      </c>
      <c r="Y274" s="1197" t="s">
        <v>223</v>
      </c>
      <c r="Z274" s="1181" t="s">
        <v>224</v>
      </c>
      <c r="AA274" s="728"/>
    </row>
    <row r="275" spans="1:27" ht="29.25" customHeight="1">
      <c r="A275" s="1233"/>
      <c r="B275" s="1233"/>
      <c r="C275" s="1233"/>
      <c r="D275" s="1233"/>
      <c r="E275" s="1233"/>
      <c r="F275" s="117"/>
      <c r="G275" s="171"/>
      <c r="I275" s="411"/>
      <c r="J275" s="418" t="s">
        <v>54</v>
      </c>
      <c r="K275" s="421" t="s">
        <v>11</v>
      </c>
      <c r="L275" s="498">
        <v>0.1</v>
      </c>
      <c r="M275" s="414"/>
      <c r="N275" s="546"/>
      <c r="O275" s="455"/>
      <c r="S275" s="1826" t="s">
        <v>238</v>
      </c>
      <c r="T275" s="1181" t="s">
        <v>239</v>
      </c>
      <c r="U275" s="890">
        <v>1.9</v>
      </c>
      <c r="V275" s="890">
        <f>ROUND(((1.5/0.2)+(1.74/0.2)),0)</f>
        <v>16</v>
      </c>
      <c r="W275" s="890">
        <v>2</v>
      </c>
      <c r="X275" s="1198">
        <v>0.99399999999999999</v>
      </c>
      <c r="Y275" s="890">
        <f>+PRODUCT(U275:X275)</f>
        <v>60.435199999999995</v>
      </c>
      <c r="Z275" s="981" t="s">
        <v>227</v>
      </c>
      <c r="AA275" s="728"/>
    </row>
    <row r="276" spans="1:27" ht="24.6" customHeight="1" thickBot="1">
      <c r="A276" s="1233"/>
      <c r="B276" s="1233"/>
      <c r="C276" s="1233"/>
      <c r="D276" s="1233"/>
      <c r="E276" s="1233"/>
      <c r="F276" s="117"/>
      <c r="G276" s="171"/>
      <c r="I276" s="411"/>
      <c r="J276" s="418" t="s">
        <v>59</v>
      </c>
      <c r="K276" s="421" t="s">
        <v>80</v>
      </c>
      <c r="L276" s="498">
        <v>3</v>
      </c>
      <c r="M276" s="414"/>
      <c r="N276" s="546"/>
      <c r="O276" s="455"/>
      <c r="S276" s="1827"/>
      <c r="T276" s="1181" t="s">
        <v>230</v>
      </c>
      <c r="U276" s="890">
        <v>1.5</v>
      </c>
      <c r="V276" s="890">
        <f>ROUND((1.85/0.2),0)</f>
        <v>9</v>
      </c>
      <c r="W276" s="890">
        <v>2</v>
      </c>
      <c r="X276" s="1199">
        <v>0.56000000000000005</v>
      </c>
      <c r="Y276" s="890">
        <f t="shared" ref="Y276:Y281" si="22">+PRODUCT(U276:X276)</f>
        <v>15.120000000000001</v>
      </c>
      <c r="Z276" s="1006" t="s">
        <v>240</v>
      </c>
      <c r="AA276" s="728"/>
    </row>
    <row r="277" spans="1:27" ht="28.5" customHeight="1" thickBot="1">
      <c r="A277" s="1942" t="s">
        <v>506</v>
      </c>
      <c r="B277" s="1943"/>
      <c r="C277" s="1943"/>
      <c r="D277" s="1943"/>
      <c r="E277" s="1943"/>
      <c r="F277" s="1944"/>
      <c r="G277" s="171"/>
      <c r="I277" s="415"/>
      <c r="J277" s="457" t="s">
        <v>24</v>
      </c>
      <c r="K277" s="433" t="s">
        <v>66</v>
      </c>
      <c r="L277" s="459">
        <v>0.6</v>
      </c>
      <c r="M277" s="460"/>
      <c r="N277" s="458"/>
      <c r="O277" s="461"/>
      <c r="S277" s="1828"/>
      <c r="T277" s="1181" t="s">
        <v>230</v>
      </c>
      <c r="U277" s="890">
        <v>1.74</v>
      </c>
      <c r="V277" s="890">
        <f>ROUND((1.85/0.2),0)</f>
        <v>9</v>
      </c>
      <c r="W277" s="890">
        <v>2</v>
      </c>
      <c r="X277" s="1199">
        <v>0.56000000000000005</v>
      </c>
      <c r="Y277" s="890">
        <f t="shared" si="22"/>
        <v>17.539200000000001</v>
      </c>
      <c r="Z277" s="1006" t="s">
        <v>240</v>
      </c>
      <c r="AA277" s="728"/>
    </row>
    <row r="278" spans="1:27" ht="33.6" customHeight="1" thickBot="1">
      <c r="A278" s="1945" t="s">
        <v>507</v>
      </c>
      <c r="B278" s="1946"/>
      <c r="C278" s="1946"/>
      <c r="D278" s="1946"/>
      <c r="E278" s="1946"/>
      <c r="F278" s="1947"/>
      <c r="G278" s="171"/>
      <c r="I278" s="643" t="s">
        <v>5</v>
      </c>
      <c r="J278" s="644"/>
      <c r="K278" s="826"/>
      <c r="L278" s="826"/>
      <c r="M278" s="644"/>
      <c r="N278" s="846"/>
      <c r="O278" s="646"/>
      <c r="S278" s="1200"/>
      <c r="T278" s="1181"/>
      <c r="U278" s="890"/>
      <c r="V278" s="890"/>
      <c r="W278" s="890"/>
      <c r="X278" s="1199"/>
      <c r="Y278" s="890"/>
      <c r="Z278" s="1006"/>
      <c r="AA278" s="728"/>
    </row>
    <row r="279" spans="1:27" ht="23.45" customHeight="1" thickBot="1">
      <c r="A279" s="1352"/>
      <c r="B279" s="1352"/>
      <c r="C279" s="1352"/>
      <c r="D279" s="1352"/>
      <c r="E279" s="1352"/>
      <c r="F279" s="1352"/>
      <c r="G279" s="171"/>
      <c r="S279" s="1826" t="s">
        <v>225</v>
      </c>
      <c r="T279" s="1181" t="s">
        <v>226</v>
      </c>
      <c r="U279" s="891">
        <v>1.74</v>
      </c>
      <c r="V279" s="890">
        <f>ROUND((1.84/0.15),0)</f>
        <v>12</v>
      </c>
      <c r="W279" s="890">
        <v>2</v>
      </c>
      <c r="X279" s="1198">
        <v>0.99399999999999999</v>
      </c>
      <c r="Y279" s="890">
        <f t="shared" si="22"/>
        <v>41.509439999999998</v>
      </c>
      <c r="Z279" s="981" t="s">
        <v>227</v>
      </c>
      <c r="AA279" s="728"/>
    </row>
    <row r="280" spans="1:27" ht="23.45" customHeight="1" thickBot="1">
      <c r="A280" s="1236" t="s">
        <v>425</v>
      </c>
      <c r="B280" s="1237" t="s">
        <v>7</v>
      </c>
      <c r="C280" s="1237" t="s">
        <v>0</v>
      </c>
      <c r="D280" s="1237" t="s">
        <v>8</v>
      </c>
      <c r="E280" s="1237" t="s">
        <v>2</v>
      </c>
      <c r="F280" s="1238" t="s">
        <v>9</v>
      </c>
      <c r="G280" s="171"/>
      <c r="I280" s="406" t="s">
        <v>6</v>
      </c>
      <c r="J280" s="407" t="s">
        <v>7</v>
      </c>
      <c r="K280" s="439" t="s">
        <v>0</v>
      </c>
      <c r="L280" s="439" t="s">
        <v>8</v>
      </c>
      <c r="M280" s="407"/>
      <c r="N280" s="839" t="s">
        <v>387</v>
      </c>
      <c r="O280" s="409"/>
      <c r="S280" s="1827"/>
      <c r="T280" s="1181" t="s">
        <v>228</v>
      </c>
      <c r="U280" s="890">
        <v>1</v>
      </c>
      <c r="V280" s="890">
        <v>4</v>
      </c>
      <c r="W280" s="890">
        <v>1</v>
      </c>
      <c r="X280" s="1198">
        <v>0.99399999999999999</v>
      </c>
      <c r="Y280" s="890">
        <f t="shared" si="22"/>
        <v>3.976</v>
      </c>
      <c r="Z280" s="981" t="s">
        <v>227</v>
      </c>
      <c r="AA280" s="728"/>
    </row>
    <row r="281" spans="1:27" ht="31.5" customHeight="1">
      <c r="A281" s="1353">
        <v>1</v>
      </c>
      <c r="B281" s="1354" t="s">
        <v>79</v>
      </c>
      <c r="C281" s="1355" t="s">
        <v>80</v>
      </c>
      <c r="D281" s="1356">
        <v>21</v>
      </c>
      <c r="E281" s="1357"/>
      <c r="F281" s="1358">
        <f t="shared" ref="F281" si="23">+E281*D281</f>
        <v>0</v>
      </c>
      <c r="G281" s="171"/>
      <c r="I281" s="410"/>
      <c r="J281" s="416" t="s">
        <v>192</v>
      </c>
      <c r="K281" s="420" t="s">
        <v>23</v>
      </c>
      <c r="L281" s="545"/>
      <c r="M281" s="585"/>
      <c r="N281" s="830"/>
      <c r="O281" s="481"/>
      <c r="S281" s="1827"/>
      <c r="T281" s="1181" t="s">
        <v>242</v>
      </c>
      <c r="U281" s="890">
        <v>1.7</v>
      </c>
      <c r="V281" s="890">
        <v>4</v>
      </c>
      <c r="W281" s="890">
        <v>1</v>
      </c>
      <c r="X281" s="1198">
        <v>1.552</v>
      </c>
      <c r="Y281" s="890">
        <f t="shared" si="22"/>
        <v>10.553599999999999</v>
      </c>
      <c r="Z281" s="1201" t="s">
        <v>243</v>
      </c>
      <c r="AA281" s="1190">
        <f>1.84*1.84</f>
        <v>3.3856000000000002</v>
      </c>
    </row>
    <row r="282" spans="1:27" ht="28.5" customHeight="1">
      <c r="A282" s="1359">
        <v>2</v>
      </c>
      <c r="B282" s="1360" t="s">
        <v>465</v>
      </c>
      <c r="C282" s="1361" t="s">
        <v>80</v>
      </c>
      <c r="D282" s="1362">
        <v>8</v>
      </c>
      <c r="E282" s="1363"/>
      <c r="F282" s="1364">
        <f>+D282*E282</f>
        <v>0</v>
      </c>
      <c r="G282" s="171"/>
      <c r="I282" s="411"/>
      <c r="J282" s="418" t="s">
        <v>175</v>
      </c>
      <c r="K282" s="421" t="s">
        <v>4</v>
      </c>
      <c r="L282" s="498">
        <v>1</v>
      </c>
      <c r="M282" s="414"/>
      <c r="N282" s="546">
        <v>1.05</v>
      </c>
      <c r="O282" s="455"/>
      <c r="S282" s="1828"/>
      <c r="T282" s="1202" t="s">
        <v>236</v>
      </c>
      <c r="U282" s="1203"/>
      <c r="V282" s="1203"/>
      <c r="W282" s="1203"/>
      <c r="X282" s="1204"/>
      <c r="Y282" s="890">
        <f>-(AA282*Y279)/AA281</f>
        <v>-9.6245600189035905</v>
      </c>
      <c r="Z282" s="1006"/>
      <c r="AA282" s="1190">
        <f>0.25*3.14</f>
        <v>0.78500000000000003</v>
      </c>
    </row>
    <row r="283" spans="1:27" ht="29.1" customHeight="1">
      <c r="A283" s="1365">
        <v>3</v>
      </c>
      <c r="B283" s="1360" t="s">
        <v>81</v>
      </c>
      <c r="C283" s="1361" t="s">
        <v>62</v>
      </c>
      <c r="D283" s="1361">
        <v>0.35</v>
      </c>
      <c r="E283" s="1363"/>
      <c r="F283" s="1364">
        <f t="shared" ref="F283" si="24">+D283*E283</f>
        <v>0</v>
      </c>
      <c r="G283" s="171"/>
      <c r="I283" s="411"/>
      <c r="J283" s="642" t="s">
        <v>162</v>
      </c>
      <c r="K283" s="421" t="s">
        <v>22</v>
      </c>
      <c r="L283" s="498">
        <f>1.05*1.05*4</f>
        <v>4.41</v>
      </c>
      <c r="M283" s="414"/>
      <c r="N283" s="546"/>
      <c r="O283" s="455"/>
      <c r="S283" s="1205" t="s">
        <v>223</v>
      </c>
      <c r="T283" s="1206"/>
      <c r="U283" s="1206"/>
      <c r="V283" s="1206"/>
      <c r="W283" s="1206"/>
      <c r="X283" s="1207"/>
      <c r="Y283" s="890">
        <f>SUM(Y275:Y282)</f>
        <v>139.50887998109638</v>
      </c>
      <c r="Z283" s="891"/>
      <c r="AA283" s="728"/>
    </row>
    <row r="284" spans="1:27" ht="28.5" customHeight="1">
      <c r="A284" s="1245" t="s">
        <v>508</v>
      </c>
      <c r="B284" s="1246" t="s">
        <v>133</v>
      </c>
      <c r="C284" s="1247" t="s">
        <v>3</v>
      </c>
      <c r="D284" s="1248">
        <f>5.5*2</f>
        <v>11</v>
      </c>
      <c r="E284" s="1249"/>
      <c r="F284" s="1250">
        <f t="shared" ref="F284" si="25">+E284*D284</f>
        <v>0</v>
      </c>
      <c r="G284" s="171"/>
      <c r="I284" s="411"/>
      <c r="J284" s="418" t="s">
        <v>56</v>
      </c>
      <c r="K284" s="421" t="s">
        <v>31</v>
      </c>
      <c r="L284" s="498">
        <v>10</v>
      </c>
      <c r="M284" s="414"/>
      <c r="N284" s="546"/>
      <c r="O284" s="455"/>
      <c r="S284" s="1210"/>
      <c r="T284" s="1210"/>
      <c r="U284" s="1210"/>
      <c r="V284" s="1210"/>
      <c r="W284" s="1210"/>
      <c r="X284" s="1210"/>
      <c r="Y284" s="1211"/>
      <c r="Z284" s="1212"/>
      <c r="AA284" s="728"/>
    </row>
    <row r="285" spans="1:27" ht="27" customHeight="1">
      <c r="A285" s="1366">
        <v>5</v>
      </c>
      <c r="B285" s="1360" t="s">
        <v>159</v>
      </c>
      <c r="C285" s="1361" t="s">
        <v>80</v>
      </c>
      <c r="D285" s="1362">
        <v>15</v>
      </c>
      <c r="E285" s="1363"/>
      <c r="F285" s="1364">
        <f t="shared" ref="F285:F313" si="26">+D285*E285</f>
        <v>0</v>
      </c>
      <c r="G285" s="171"/>
      <c r="I285" s="411"/>
      <c r="J285" s="418" t="s">
        <v>141</v>
      </c>
      <c r="K285" s="421" t="s">
        <v>11</v>
      </c>
      <c r="L285" s="498">
        <f>1.1*1.1*0.1*2+1*1*0.1*2</f>
        <v>0.44200000000000006</v>
      </c>
      <c r="M285" s="414"/>
      <c r="N285" s="546"/>
      <c r="O285" s="455"/>
      <c r="S285" s="1829" t="s">
        <v>504</v>
      </c>
      <c r="T285" s="1830"/>
      <c r="U285" s="1830"/>
      <c r="V285" s="1830"/>
      <c r="W285" s="1830"/>
      <c r="X285" s="1831"/>
    </row>
    <row r="286" spans="1:27" ht="18" customHeight="1">
      <c r="A286" s="1365">
        <v>6</v>
      </c>
      <c r="B286" s="1360" t="s">
        <v>160</v>
      </c>
      <c r="C286" s="1361" t="s">
        <v>3</v>
      </c>
      <c r="D286" s="1367">
        <v>11</v>
      </c>
      <c r="E286" s="1363"/>
      <c r="F286" s="1364">
        <f t="shared" si="26"/>
        <v>0</v>
      </c>
      <c r="G286" s="171"/>
      <c r="I286" s="411"/>
      <c r="J286" s="418" t="s">
        <v>397</v>
      </c>
      <c r="K286" s="421" t="s">
        <v>40</v>
      </c>
      <c r="L286" s="498">
        <v>3</v>
      </c>
      <c r="M286" s="414"/>
      <c r="N286" s="546"/>
      <c r="O286" s="455"/>
      <c r="S286" s="1188" t="s">
        <v>120</v>
      </c>
      <c r="T286" s="1181" t="s">
        <v>230</v>
      </c>
      <c r="U286" s="1181" t="s">
        <v>231</v>
      </c>
      <c r="V286" s="1181" t="s">
        <v>232</v>
      </c>
      <c r="W286" s="1181" t="s">
        <v>221</v>
      </c>
      <c r="X286" s="1181" t="s">
        <v>233</v>
      </c>
    </row>
    <row r="287" spans="1:27" ht="22.5" customHeight="1">
      <c r="A287" s="1359" t="s">
        <v>509</v>
      </c>
      <c r="B287" s="1330" t="s">
        <v>510</v>
      </c>
      <c r="C287" s="1332" t="s">
        <v>3</v>
      </c>
      <c r="D287" s="1333">
        <v>11</v>
      </c>
      <c r="E287" s="1334"/>
      <c r="F287" s="1364">
        <f t="shared" si="26"/>
        <v>0</v>
      </c>
      <c r="G287" s="1335"/>
      <c r="I287" s="875"/>
      <c r="J287" s="876"/>
      <c r="K287" s="877"/>
      <c r="L287" s="878"/>
      <c r="M287" s="879"/>
      <c r="N287" s="880"/>
      <c r="O287" s="881"/>
      <c r="S287" s="1182" t="s">
        <v>234</v>
      </c>
      <c r="T287" s="890">
        <v>1.8</v>
      </c>
      <c r="U287" s="890">
        <v>0.12</v>
      </c>
      <c r="V287" s="890">
        <v>1.5</v>
      </c>
      <c r="W287" s="890">
        <v>2</v>
      </c>
      <c r="X287" s="1002">
        <f>+W287*V287*U287*T287</f>
        <v>0.64800000000000002</v>
      </c>
    </row>
    <row r="288" spans="1:27" ht="22.5" customHeight="1" thickBot="1">
      <c r="A288" s="1365" t="s">
        <v>511</v>
      </c>
      <c r="B288" s="1331" t="s">
        <v>512</v>
      </c>
      <c r="C288" s="1332" t="s">
        <v>3</v>
      </c>
      <c r="D288" s="1333">
        <v>17.8</v>
      </c>
      <c r="E288" s="1334"/>
      <c r="F288" s="1364">
        <f t="shared" si="26"/>
        <v>0</v>
      </c>
      <c r="G288" s="1335"/>
      <c r="I288" s="415"/>
      <c r="J288" s="457" t="s">
        <v>24</v>
      </c>
      <c r="K288" s="433" t="s">
        <v>66</v>
      </c>
      <c r="L288" s="459">
        <v>0.1</v>
      </c>
      <c r="M288" s="460"/>
      <c r="N288" s="458"/>
      <c r="O288" s="461"/>
      <c r="S288" s="1182" t="s">
        <v>234</v>
      </c>
      <c r="T288" s="890">
        <v>1.8</v>
      </c>
      <c r="U288" s="890">
        <v>0.12</v>
      </c>
      <c r="V288" s="890">
        <v>1.74</v>
      </c>
      <c r="W288" s="890">
        <v>2</v>
      </c>
      <c r="X288" s="1002">
        <f t="shared" ref="X288:X289" si="27">+W288*V288*U288*T288</f>
        <v>0.75168000000000001</v>
      </c>
    </row>
    <row r="289" spans="1:28" ht="22.5" customHeight="1" thickBot="1">
      <c r="A289" s="1365" t="s">
        <v>513</v>
      </c>
      <c r="B289" s="1331" t="s">
        <v>514</v>
      </c>
      <c r="C289" s="1332" t="s">
        <v>3</v>
      </c>
      <c r="D289" s="1332">
        <v>13.42</v>
      </c>
      <c r="E289" s="1334"/>
      <c r="F289" s="1364">
        <f t="shared" si="26"/>
        <v>0</v>
      </c>
      <c r="G289" s="1335"/>
      <c r="I289" s="643" t="s">
        <v>5</v>
      </c>
      <c r="J289" s="644"/>
      <c r="K289" s="826"/>
      <c r="L289" s="826"/>
      <c r="M289" s="644"/>
      <c r="N289" s="846"/>
      <c r="O289" s="646"/>
      <c r="S289" s="1190" t="s">
        <v>235</v>
      </c>
      <c r="T289" s="891">
        <v>0.15</v>
      </c>
      <c r="U289" s="891">
        <v>1.74</v>
      </c>
      <c r="V289" s="891">
        <v>1.74</v>
      </c>
      <c r="W289" s="890">
        <v>1</v>
      </c>
      <c r="X289" s="1002">
        <f t="shared" si="27"/>
        <v>0.45413999999999999</v>
      </c>
    </row>
    <row r="290" spans="1:28" ht="16.5" customHeight="1">
      <c r="A290" s="1365">
        <v>10</v>
      </c>
      <c r="B290" s="1369" t="s">
        <v>515</v>
      </c>
      <c r="C290" s="1361" t="s">
        <v>62</v>
      </c>
      <c r="D290" s="1367">
        <v>0.7</v>
      </c>
      <c r="E290" s="1363"/>
      <c r="F290" s="1364">
        <f t="shared" si="26"/>
        <v>0</v>
      </c>
      <c r="G290" s="171"/>
      <c r="S290" s="1182"/>
      <c r="T290" s="891"/>
      <c r="U290" s="891"/>
      <c r="V290" s="891"/>
      <c r="W290" s="890"/>
      <c r="X290" s="1002"/>
    </row>
    <row r="291" spans="1:28" ht="15.75" customHeight="1">
      <c r="A291" s="1366">
        <v>11</v>
      </c>
      <c r="B291" s="1360" t="s">
        <v>150</v>
      </c>
      <c r="C291" s="1361" t="s">
        <v>4</v>
      </c>
      <c r="D291" s="1362">
        <f>5.5*2*2.4*0.35</f>
        <v>9.2399999999999984</v>
      </c>
      <c r="E291" s="1363"/>
      <c r="F291" s="1364">
        <f t="shared" si="26"/>
        <v>0</v>
      </c>
      <c r="G291" s="171"/>
      <c r="S291" s="1837" t="s">
        <v>223</v>
      </c>
      <c r="T291" s="1838"/>
      <c r="U291" s="1838"/>
      <c r="V291" s="1838"/>
      <c r="W291" s="1839"/>
      <c r="X291" s="1209">
        <f>SUM(X287:X290)</f>
        <v>1.85382</v>
      </c>
    </row>
    <row r="292" spans="1:28" ht="29.25" customHeight="1" thickBot="1">
      <c r="A292" s="1365">
        <v>12</v>
      </c>
      <c r="B292" s="1360" t="s">
        <v>135</v>
      </c>
      <c r="C292" s="1361" t="s">
        <v>4</v>
      </c>
      <c r="D292" s="1362">
        <f>+D286*0.12+D287*0.22+D288*0.3+D289*0.2+D291</f>
        <v>21.003999999999998</v>
      </c>
      <c r="E292" s="1363"/>
      <c r="F292" s="1364">
        <f t="shared" si="26"/>
        <v>0</v>
      </c>
      <c r="G292" s="171"/>
    </row>
    <row r="293" spans="1:28" ht="15.75">
      <c r="A293" s="1359">
        <v>13</v>
      </c>
      <c r="B293" s="1360" t="s">
        <v>83</v>
      </c>
      <c r="C293" s="1361" t="s">
        <v>4</v>
      </c>
      <c r="D293" s="1362">
        <f>+D292</f>
        <v>21.003999999999998</v>
      </c>
      <c r="E293" s="1363"/>
      <c r="F293" s="1364">
        <f t="shared" si="26"/>
        <v>0</v>
      </c>
      <c r="G293" s="171"/>
      <c r="I293" s="406" t="s">
        <v>6</v>
      </c>
      <c r="J293" s="407" t="s">
        <v>7</v>
      </c>
      <c r="K293" s="439" t="s">
        <v>0</v>
      </c>
      <c r="L293" s="439" t="s">
        <v>8</v>
      </c>
      <c r="M293" s="407"/>
      <c r="N293" s="839" t="s">
        <v>387</v>
      </c>
      <c r="O293" s="409"/>
      <c r="S293" s="377" t="s">
        <v>218</v>
      </c>
      <c r="T293" s="378"/>
      <c r="U293" s="378"/>
      <c r="V293" s="378"/>
      <c r="W293" s="108" t="s">
        <v>220</v>
      </c>
      <c r="X293" s="109" t="s">
        <v>221</v>
      </c>
      <c r="Y293" s="109" t="s">
        <v>222</v>
      </c>
      <c r="Z293" s="378"/>
      <c r="AA293" s="379"/>
      <c r="AB293" s="57"/>
    </row>
    <row r="294" spans="1:28" ht="21.75" customHeight="1">
      <c r="A294" s="1365">
        <v>14</v>
      </c>
      <c r="B294" s="1360" t="s">
        <v>516</v>
      </c>
      <c r="C294" s="1361" t="s">
        <v>4</v>
      </c>
      <c r="D294" s="1362">
        <v>3.75</v>
      </c>
      <c r="E294" s="1363"/>
      <c r="F294" s="1364">
        <f t="shared" si="26"/>
        <v>0</v>
      </c>
      <c r="G294" s="171"/>
      <c r="I294" s="582"/>
      <c r="J294" s="661" t="s">
        <v>193</v>
      </c>
      <c r="K294" s="827" t="s">
        <v>31</v>
      </c>
      <c r="L294" s="827"/>
      <c r="M294" s="662"/>
      <c r="N294" s="848"/>
      <c r="O294" s="667"/>
      <c r="S294" s="1806" t="s">
        <v>120</v>
      </c>
      <c r="T294" s="1807"/>
      <c r="U294" s="1808"/>
      <c r="V294" s="108" t="s">
        <v>219</v>
      </c>
      <c r="W294" s="110">
        <f>ROUND(((1.5/0.15)+(1.84/0.15)),0)</f>
        <v>22</v>
      </c>
      <c r="X294" s="110">
        <v>2</v>
      </c>
      <c r="Y294" s="111">
        <v>0.99399999999999999</v>
      </c>
      <c r="Z294" s="109" t="s">
        <v>223</v>
      </c>
      <c r="AA294" s="108" t="s">
        <v>224</v>
      </c>
      <c r="AB294" s="57"/>
    </row>
    <row r="295" spans="1:28" ht="18.75" customHeight="1">
      <c r="A295" s="1366">
        <v>15</v>
      </c>
      <c r="B295" s="1331" t="s">
        <v>517</v>
      </c>
      <c r="C295" s="1332" t="s">
        <v>80</v>
      </c>
      <c r="D295" s="1340">
        <f>5.5*2</f>
        <v>11</v>
      </c>
      <c r="E295" s="1334"/>
      <c r="F295" s="1364">
        <f t="shared" si="26"/>
        <v>0</v>
      </c>
      <c r="G295" s="1335"/>
      <c r="I295" s="582"/>
      <c r="J295" s="663" t="s">
        <v>194</v>
      </c>
      <c r="K295" s="666" t="s">
        <v>31</v>
      </c>
      <c r="L295" s="854">
        <v>1</v>
      </c>
      <c r="M295" s="414"/>
      <c r="N295" s="477">
        <v>1.05</v>
      </c>
      <c r="O295" s="455"/>
      <c r="S295" s="1935" t="s">
        <v>238</v>
      </c>
      <c r="T295" s="324"/>
      <c r="U295" s="108" t="s">
        <v>239</v>
      </c>
      <c r="V295" s="110">
        <v>1.9</v>
      </c>
      <c r="W295" s="110">
        <f>ROUND((1.85/0.15),0)</f>
        <v>12</v>
      </c>
      <c r="X295" s="110">
        <v>2</v>
      </c>
      <c r="Y295" s="127">
        <v>0.56000000000000005</v>
      </c>
      <c r="Z295" s="110">
        <f t="shared" ref="Z295:Z300" si="28">+PRODUCT(Q366:R366)</f>
        <v>0</v>
      </c>
      <c r="AA295" s="68" t="s">
        <v>227</v>
      </c>
      <c r="AB295" s="57"/>
    </row>
    <row r="296" spans="1:28" ht="15.75">
      <c r="A296" s="1365">
        <v>16</v>
      </c>
      <c r="B296" s="1331" t="s">
        <v>518</v>
      </c>
      <c r="C296" s="1332" t="s">
        <v>80</v>
      </c>
      <c r="D296" s="1340">
        <f>2*5+1.9+0.8</f>
        <v>12.700000000000001</v>
      </c>
      <c r="E296" s="1334"/>
      <c r="F296" s="1364">
        <f t="shared" si="26"/>
        <v>0</v>
      </c>
      <c r="G296" s="1335"/>
      <c r="I296" s="582"/>
      <c r="J296" s="663" t="s">
        <v>195</v>
      </c>
      <c r="K296" s="666" t="s">
        <v>23</v>
      </c>
      <c r="L296" s="421">
        <v>1</v>
      </c>
      <c r="M296" s="414"/>
      <c r="N296" s="849"/>
      <c r="O296" s="455"/>
      <c r="S296" s="1935"/>
      <c r="T296" s="324"/>
      <c r="U296" s="108" t="s">
        <v>230</v>
      </c>
      <c r="V296" s="110">
        <v>1.5</v>
      </c>
      <c r="W296" s="110">
        <f>ROUND((1.85/0.15),0)</f>
        <v>12</v>
      </c>
      <c r="X296" s="110">
        <v>2</v>
      </c>
      <c r="Y296" s="127">
        <v>0.56000000000000005</v>
      </c>
      <c r="Z296" s="110">
        <f t="shared" si="28"/>
        <v>0</v>
      </c>
      <c r="AA296" s="79" t="s">
        <v>240</v>
      </c>
      <c r="AB296" s="57"/>
    </row>
    <row r="297" spans="1:28" ht="28.5">
      <c r="A297" s="1366">
        <v>17</v>
      </c>
      <c r="B297" s="1341" t="s">
        <v>519</v>
      </c>
      <c r="C297" s="1332" t="s">
        <v>4</v>
      </c>
      <c r="D297" s="1340">
        <v>7</v>
      </c>
      <c r="E297" s="1342"/>
      <c r="F297" s="1364">
        <f t="shared" si="26"/>
        <v>0</v>
      </c>
      <c r="G297" s="1335"/>
      <c r="I297" s="582"/>
      <c r="J297" s="663" t="s">
        <v>137</v>
      </c>
      <c r="K297" s="666" t="s">
        <v>10</v>
      </c>
      <c r="L297" s="421">
        <v>0.25</v>
      </c>
      <c r="M297" s="414"/>
      <c r="N297" s="849">
        <v>2.5000000000000001E-3</v>
      </c>
      <c r="O297" s="455"/>
      <c r="S297" s="1935"/>
      <c r="T297" s="324"/>
      <c r="U297" s="108" t="s">
        <v>230</v>
      </c>
      <c r="V297" s="110">
        <v>1.84</v>
      </c>
      <c r="W297" s="110">
        <f>ROUND((1.84/0.15),0)</f>
        <v>12</v>
      </c>
      <c r="X297" s="110">
        <v>2</v>
      </c>
      <c r="Y297" s="110">
        <v>2.2349999999999999</v>
      </c>
      <c r="Z297" s="110">
        <f t="shared" si="28"/>
        <v>0</v>
      </c>
      <c r="AA297" s="79" t="s">
        <v>240</v>
      </c>
      <c r="AB297" s="57"/>
    </row>
    <row r="298" spans="1:28" ht="28.5">
      <c r="A298" s="1365">
        <v>18</v>
      </c>
      <c r="B298" s="1341" t="s">
        <v>520</v>
      </c>
      <c r="C298" s="1332" t="s">
        <v>3</v>
      </c>
      <c r="D298" s="1340">
        <v>6.79</v>
      </c>
      <c r="E298" s="1334"/>
      <c r="F298" s="1364">
        <f t="shared" si="26"/>
        <v>0</v>
      </c>
      <c r="G298" s="1335"/>
      <c r="I298" s="582"/>
      <c r="J298" s="663" t="s">
        <v>55</v>
      </c>
      <c r="K298" s="666" t="s">
        <v>10</v>
      </c>
      <c r="L298" s="421">
        <v>0.25</v>
      </c>
      <c r="M298" s="414"/>
      <c r="N298" s="849">
        <v>2.5000000000000001E-3</v>
      </c>
      <c r="O298" s="455"/>
      <c r="S298" s="1935" t="s">
        <v>225</v>
      </c>
      <c r="T298" s="324"/>
      <c r="U298" s="108" t="s">
        <v>226</v>
      </c>
      <c r="V298" s="94">
        <v>1.84</v>
      </c>
      <c r="W298" s="110">
        <v>4</v>
      </c>
      <c r="X298" s="110">
        <v>1</v>
      </c>
      <c r="Y298" s="111">
        <v>0.99399999999999999</v>
      </c>
      <c r="Z298" s="110">
        <f t="shared" si="28"/>
        <v>0</v>
      </c>
      <c r="AA298" s="68" t="s">
        <v>241</v>
      </c>
      <c r="AB298" s="57"/>
    </row>
    <row r="299" spans="1:28" ht="17.100000000000001" customHeight="1">
      <c r="A299" s="1359">
        <v>19</v>
      </c>
      <c r="B299" s="1371" t="s">
        <v>165</v>
      </c>
      <c r="C299" s="1361" t="s">
        <v>62</v>
      </c>
      <c r="D299" s="1362">
        <v>1</v>
      </c>
      <c r="E299" s="1363"/>
      <c r="F299" s="1364">
        <f t="shared" si="26"/>
        <v>0</v>
      </c>
      <c r="G299" s="171"/>
      <c r="I299" s="582"/>
      <c r="J299" s="871" t="s">
        <v>196</v>
      </c>
      <c r="K299" s="666" t="s">
        <v>40</v>
      </c>
      <c r="L299" s="665">
        <v>4.0000000000000001E-3</v>
      </c>
      <c r="M299" s="414"/>
      <c r="N299" s="477">
        <v>1.05</v>
      </c>
      <c r="O299" s="455"/>
      <c r="S299" s="1935"/>
      <c r="T299" s="324"/>
      <c r="U299" s="108" t="s">
        <v>228</v>
      </c>
      <c r="V299" s="110">
        <v>1</v>
      </c>
      <c r="W299" s="128">
        <v>4</v>
      </c>
      <c r="X299" s="110">
        <v>1</v>
      </c>
      <c r="Y299" s="129">
        <v>1.552</v>
      </c>
      <c r="Z299" s="110">
        <f t="shared" si="28"/>
        <v>0</v>
      </c>
      <c r="AA299" s="68" t="s">
        <v>227</v>
      </c>
      <c r="AB299" s="89">
        <f>1.84*1.84</f>
        <v>3.3856000000000002</v>
      </c>
    </row>
    <row r="300" spans="1:28" ht="23.25" customHeight="1">
      <c r="A300" s="1372">
        <v>20</v>
      </c>
      <c r="B300" s="1343" t="s">
        <v>521</v>
      </c>
      <c r="C300" s="1344" t="s">
        <v>86</v>
      </c>
      <c r="D300" s="1345">
        <v>1</v>
      </c>
      <c r="E300" s="1334"/>
      <c r="F300" s="1364">
        <f t="shared" si="26"/>
        <v>0</v>
      </c>
      <c r="G300" s="1335"/>
      <c r="I300" s="582"/>
      <c r="J300" s="671" t="s">
        <v>37</v>
      </c>
      <c r="K300" s="666" t="s">
        <v>12</v>
      </c>
      <c r="L300" s="854">
        <v>1</v>
      </c>
      <c r="M300" s="423"/>
      <c r="N300" s="855">
        <v>0.03</v>
      </c>
      <c r="O300" s="668"/>
      <c r="S300" s="1935"/>
      <c r="T300" s="326"/>
      <c r="U300" s="106" t="s">
        <v>242</v>
      </c>
      <c r="V300" s="128">
        <v>1.8</v>
      </c>
      <c r="W300" s="124"/>
      <c r="X300" s="124"/>
      <c r="Y300" s="125"/>
      <c r="Z300" s="110">
        <f t="shared" si="28"/>
        <v>0</v>
      </c>
      <c r="AA300" s="130" t="s">
        <v>243</v>
      </c>
      <c r="AB300" s="89">
        <f>0.25*3.14</f>
        <v>0.78500000000000003</v>
      </c>
    </row>
    <row r="301" spans="1:28" ht="29.25" thickBot="1">
      <c r="A301" s="1372">
        <v>21</v>
      </c>
      <c r="B301" s="1343" t="s">
        <v>522</v>
      </c>
      <c r="C301" s="1344" t="s">
        <v>86</v>
      </c>
      <c r="D301" s="1345">
        <v>1</v>
      </c>
      <c r="E301" s="1334"/>
      <c r="F301" s="1364">
        <f t="shared" si="26"/>
        <v>0</v>
      </c>
      <c r="G301" s="1335"/>
      <c r="I301" s="584"/>
      <c r="J301" s="669" t="s">
        <v>25</v>
      </c>
      <c r="K301" s="670" t="s">
        <v>197</v>
      </c>
      <c r="L301" s="828">
        <v>0.1</v>
      </c>
      <c r="M301" s="541"/>
      <c r="N301" s="847">
        <v>1</v>
      </c>
      <c r="O301" s="461"/>
      <c r="S301" s="1935"/>
      <c r="T301" s="326"/>
      <c r="U301" s="123" t="s">
        <v>236</v>
      </c>
      <c r="V301" s="124"/>
      <c r="W301" s="112"/>
      <c r="X301" s="112"/>
      <c r="Y301" s="107"/>
      <c r="Z301" s="110">
        <f>-(AB300*Z298)/AB299</f>
        <v>0</v>
      </c>
      <c r="AA301" s="79"/>
      <c r="AB301" s="57"/>
    </row>
    <row r="302" spans="1:28" ht="16.5" thickBot="1">
      <c r="A302" s="1365">
        <v>20</v>
      </c>
      <c r="B302" s="1346" t="s">
        <v>523</v>
      </c>
      <c r="C302" s="1332" t="s">
        <v>62</v>
      </c>
      <c r="D302" s="1340">
        <v>6</v>
      </c>
      <c r="E302" s="1334"/>
      <c r="F302" s="1364">
        <f t="shared" si="26"/>
        <v>0</v>
      </c>
      <c r="G302" s="1335"/>
      <c r="I302" s="643" t="s">
        <v>5</v>
      </c>
      <c r="J302" s="644"/>
      <c r="K302" s="826"/>
      <c r="L302" s="826"/>
      <c r="M302" s="644"/>
      <c r="N302" s="846"/>
      <c r="O302" s="646"/>
      <c r="S302" s="106" t="s">
        <v>223</v>
      </c>
      <c r="T302" s="322"/>
      <c r="U302" s="112"/>
      <c r="V302" s="112"/>
      <c r="W302" s="740"/>
      <c r="X302" s="740"/>
      <c r="Y302" s="741"/>
      <c r="Z302" s="110">
        <f>SUM(Z295:Z301)</f>
        <v>0</v>
      </c>
      <c r="AA302" s="94"/>
      <c r="AB302" s="57"/>
    </row>
    <row r="303" spans="1:28" ht="22.5" customHeight="1" thickBot="1">
      <c r="A303" s="1366">
        <v>21</v>
      </c>
      <c r="B303" s="1360" t="s">
        <v>184</v>
      </c>
      <c r="C303" s="1361" t="s">
        <v>62</v>
      </c>
      <c r="D303" s="1362">
        <v>2</v>
      </c>
      <c r="E303" s="1363"/>
      <c r="F303" s="1364">
        <f t="shared" si="26"/>
        <v>0</v>
      </c>
      <c r="G303" s="171"/>
      <c r="I303" s="120"/>
      <c r="J303" s="658"/>
      <c r="K303" s="659"/>
      <c r="L303" s="829"/>
      <c r="M303" s="561"/>
      <c r="N303" s="850"/>
      <c r="O303" s="660"/>
      <c r="S303" s="113"/>
      <c r="T303" s="113"/>
      <c r="U303" s="100"/>
      <c r="V303" s="100"/>
      <c r="W303" s="100"/>
      <c r="X303" s="100"/>
      <c r="Y303" s="100"/>
      <c r="Z303" s="100"/>
      <c r="AA303" s="101"/>
      <c r="AB303" s="57"/>
    </row>
    <row r="304" spans="1:28" ht="17.25" customHeight="1" thickBot="1">
      <c r="A304" s="1365">
        <v>22</v>
      </c>
      <c r="B304" s="1360" t="s">
        <v>145</v>
      </c>
      <c r="C304" s="1361" t="s">
        <v>63</v>
      </c>
      <c r="D304" s="1362">
        <v>700</v>
      </c>
      <c r="E304" s="1363"/>
      <c r="F304" s="1364">
        <f t="shared" si="26"/>
        <v>0</v>
      </c>
      <c r="G304" s="171"/>
      <c r="I304" s="406" t="s">
        <v>6</v>
      </c>
      <c r="J304" s="407" t="s">
        <v>7</v>
      </c>
      <c r="K304" s="439" t="s">
        <v>0</v>
      </c>
      <c r="L304" s="439" t="s">
        <v>8</v>
      </c>
      <c r="M304" s="407"/>
      <c r="N304" s="839" t="s">
        <v>387</v>
      </c>
      <c r="O304" s="409"/>
      <c r="S304" s="100"/>
      <c r="T304" s="100"/>
      <c r="U304" s="100"/>
      <c r="V304" s="100"/>
      <c r="W304" s="100"/>
      <c r="X304" s="100"/>
      <c r="Y304" s="100"/>
      <c r="Z304" s="100"/>
      <c r="AA304" s="114"/>
      <c r="AB304" s="57"/>
    </row>
    <row r="305" spans="1:28" ht="15.75" customHeight="1">
      <c r="A305" s="1366">
        <v>23</v>
      </c>
      <c r="B305" s="1360" t="s">
        <v>524</v>
      </c>
      <c r="C305" s="1361" t="s">
        <v>3</v>
      </c>
      <c r="D305" s="1362">
        <v>4.2</v>
      </c>
      <c r="E305" s="1363"/>
      <c r="F305" s="1364">
        <f t="shared" si="26"/>
        <v>0</v>
      </c>
      <c r="G305" s="171"/>
      <c r="I305" s="581"/>
      <c r="J305" s="853" t="s">
        <v>198</v>
      </c>
      <c r="K305" s="420" t="s">
        <v>31</v>
      </c>
      <c r="L305" s="420"/>
      <c r="M305" s="585"/>
      <c r="N305" s="851"/>
      <c r="O305" s="623"/>
      <c r="S305" s="374" t="s">
        <v>229</v>
      </c>
      <c r="T305" s="375"/>
      <c r="U305" s="375"/>
      <c r="V305" s="375"/>
      <c r="W305" s="375"/>
      <c r="X305" s="375"/>
      <c r="Y305" s="376"/>
      <c r="Z305" s="101"/>
      <c r="AA305" s="101"/>
      <c r="AB305" s="57"/>
    </row>
    <row r="306" spans="1:28" ht="18.75" customHeight="1">
      <c r="A306" s="1365">
        <v>24</v>
      </c>
      <c r="B306" s="1360" t="s">
        <v>525</v>
      </c>
      <c r="C306" s="1361" t="s">
        <v>62</v>
      </c>
      <c r="D306" s="1362">
        <v>7</v>
      </c>
      <c r="E306" s="1363"/>
      <c r="F306" s="1364">
        <f t="shared" si="26"/>
        <v>0</v>
      </c>
      <c r="G306" s="171"/>
      <c r="I306" s="582"/>
      <c r="J306" s="663" t="s">
        <v>163</v>
      </c>
      <c r="K306" s="666" t="s">
        <v>31</v>
      </c>
      <c r="L306" s="804">
        <v>1</v>
      </c>
      <c r="M306" s="414"/>
      <c r="N306" s="477">
        <v>1.05</v>
      </c>
      <c r="O306" s="455"/>
      <c r="S306" s="108"/>
      <c r="T306" s="323"/>
      <c r="U306" s="108"/>
      <c r="V306" s="108"/>
      <c r="W306" s="108"/>
      <c r="X306" s="108"/>
      <c r="Y306" s="108"/>
      <c r="Z306" s="101"/>
      <c r="AA306" s="101"/>
      <c r="AB306" s="57"/>
    </row>
    <row r="307" spans="1:28" ht="28.5">
      <c r="A307" s="1359">
        <v>25</v>
      </c>
      <c r="B307" s="1370" t="s">
        <v>526</v>
      </c>
      <c r="C307" s="1361" t="s">
        <v>3</v>
      </c>
      <c r="D307" s="1362">
        <v>6.25</v>
      </c>
      <c r="E307" s="1363"/>
      <c r="F307" s="1364">
        <f t="shared" si="26"/>
        <v>0</v>
      </c>
      <c r="G307" s="1335"/>
      <c r="I307" s="582"/>
      <c r="J307" s="664" t="s">
        <v>199</v>
      </c>
      <c r="K307" s="666" t="s">
        <v>23</v>
      </c>
      <c r="L307" s="648">
        <v>1</v>
      </c>
      <c r="M307" s="423"/>
      <c r="N307" s="852">
        <v>1</v>
      </c>
      <c r="O307" s="776"/>
      <c r="S307" s="90" t="s">
        <v>120</v>
      </c>
      <c r="T307" s="324"/>
      <c r="U307" s="90" t="s">
        <v>230</v>
      </c>
      <c r="V307" s="90" t="s">
        <v>231</v>
      </c>
      <c r="W307" s="90" t="s">
        <v>232</v>
      </c>
      <c r="X307" s="90" t="s">
        <v>221</v>
      </c>
      <c r="Y307" s="90" t="s">
        <v>233</v>
      </c>
      <c r="Z307" s="101"/>
      <c r="AA307" s="101"/>
      <c r="AB307" s="57"/>
    </row>
    <row r="308" spans="1:28">
      <c r="A308" s="1365">
        <v>26</v>
      </c>
      <c r="B308" s="1341" t="s">
        <v>191</v>
      </c>
      <c r="C308" s="1332" t="s">
        <v>80</v>
      </c>
      <c r="D308" s="1340">
        <v>10</v>
      </c>
      <c r="E308" s="1334"/>
      <c r="F308" s="1364">
        <f t="shared" si="26"/>
        <v>0</v>
      </c>
      <c r="G308" s="1335"/>
      <c r="I308" s="582"/>
      <c r="J308" s="664" t="s">
        <v>137</v>
      </c>
      <c r="K308" s="666" t="s">
        <v>10</v>
      </c>
      <c r="L308" s="546">
        <v>0.25</v>
      </c>
      <c r="M308" s="414"/>
      <c r="N308" s="849">
        <v>1.4999999999999999E-2</v>
      </c>
      <c r="O308" s="455"/>
      <c r="S308" s="97" t="s">
        <v>234</v>
      </c>
      <c r="T308" s="97"/>
      <c r="U308" s="110">
        <v>1.8</v>
      </c>
      <c r="V308" s="110">
        <v>0.17</v>
      </c>
      <c r="W308" s="110">
        <v>1.5</v>
      </c>
      <c r="X308" s="110">
        <v>2</v>
      </c>
      <c r="Y308" s="115">
        <f>+X308*W308*V308*U308</f>
        <v>0.91800000000000004</v>
      </c>
      <c r="Z308" s="101"/>
      <c r="AA308" s="101"/>
      <c r="AB308" s="57"/>
    </row>
    <row r="309" spans="1:28">
      <c r="A309" s="1359" t="s">
        <v>527</v>
      </c>
      <c r="B309" s="1331" t="s">
        <v>528</v>
      </c>
      <c r="C309" s="1332" t="s">
        <v>3</v>
      </c>
      <c r="D309" s="1347">
        <f>1.5*1*0.2</f>
        <v>0.30000000000000004</v>
      </c>
      <c r="E309" s="1348"/>
      <c r="F309" s="1250">
        <f t="shared" si="26"/>
        <v>0</v>
      </c>
      <c r="G309" s="1335"/>
      <c r="I309" s="582"/>
      <c r="J309" s="664" t="s">
        <v>55</v>
      </c>
      <c r="K309" s="666" t="s">
        <v>10</v>
      </c>
      <c r="L309" s="546">
        <v>0.25</v>
      </c>
      <c r="M309" s="414"/>
      <c r="N309" s="849">
        <v>1.4999999999999999E-2</v>
      </c>
      <c r="O309" s="455"/>
      <c r="S309" s="97" t="s">
        <v>234</v>
      </c>
      <c r="T309" s="97"/>
      <c r="U309" s="110">
        <v>1.8</v>
      </c>
      <c r="V309" s="110">
        <v>0.17</v>
      </c>
      <c r="W309" s="110">
        <v>1.84</v>
      </c>
      <c r="X309" s="110">
        <v>2</v>
      </c>
      <c r="Y309" s="115">
        <f>+X309*W309*V309*U309</f>
        <v>1.1260800000000002</v>
      </c>
      <c r="Z309" s="101"/>
      <c r="AA309" s="101"/>
      <c r="AB309" s="57"/>
    </row>
    <row r="310" spans="1:28">
      <c r="A310" s="1365" t="s">
        <v>529</v>
      </c>
      <c r="B310" s="1374" t="s">
        <v>530</v>
      </c>
      <c r="C310" s="1361" t="s">
        <v>3</v>
      </c>
      <c r="D310" s="1362">
        <v>11</v>
      </c>
      <c r="E310" s="1363"/>
      <c r="F310" s="1364">
        <f t="shared" si="26"/>
        <v>0</v>
      </c>
      <c r="G310" s="171"/>
      <c r="I310" s="582"/>
      <c r="J310" s="664" t="s">
        <v>196</v>
      </c>
      <c r="K310" s="666" t="s">
        <v>40</v>
      </c>
      <c r="L310" s="805">
        <v>4.0000000000000001E-3</v>
      </c>
      <c r="M310" s="414"/>
      <c r="N310" s="477">
        <v>1.1000000000000001</v>
      </c>
      <c r="O310" s="455"/>
      <c r="S310" s="89" t="s">
        <v>235</v>
      </c>
      <c r="T310" s="89"/>
      <c r="U310" s="94">
        <v>0.18</v>
      </c>
      <c r="V310" s="94">
        <v>1.84</v>
      </c>
      <c r="W310" s="94">
        <v>1.84</v>
      </c>
      <c r="X310" s="110">
        <v>1</v>
      </c>
      <c r="Y310" s="115">
        <f>+X310*W310*V310*U310</f>
        <v>0.60940800000000006</v>
      </c>
      <c r="Z310" s="101"/>
      <c r="AA310" s="101"/>
      <c r="AB310" s="57"/>
    </row>
    <row r="311" spans="1:28" ht="30">
      <c r="A311" s="1366">
        <v>29</v>
      </c>
      <c r="B311" s="1371" t="s">
        <v>188</v>
      </c>
      <c r="C311" s="1361" t="s">
        <v>3</v>
      </c>
      <c r="D311" s="1362">
        <v>30</v>
      </c>
      <c r="E311" s="1363"/>
      <c r="F311" s="1364">
        <f t="shared" si="26"/>
        <v>0</v>
      </c>
      <c r="G311" s="171"/>
      <c r="I311" s="582"/>
      <c r="J311" s="671" t="s">
        <v>37</v>
      </c>
      <c r="K311" s="666" t="s">
        <v>12</v>
      </c>
      <c r="L311" s="806">
        <v>1</v>
      </c>
      <c r="M311" s="414"/>
      <c r="N311" s="477">
        <v>0.03</v>
      </c>
      <c r="O311" s="455"/>
      <c r="S311" s="97" t="s">
        <v>237</v>
      </c>
      <c r="T311" s="97"/>
      <c r="U311" s="94">
        <v>0.18</v>
      </c>
      <c r="V311" s="94"/>
      <c r="W311" s="94"/>
      <c r="X311" s="110"/>
      <c r="Y311" s="115">
        <f>-(PI()*0.25*0.25)*U311</f>
        <v>-3.5342917352885174E-2</v>
      </c>
      <c r="Z311" s="101"/>
      <c r="AA311" s="101"/>
      <c r="AB311" s="57"/>
    </row>
    <row r="312" spans="1:28" ht="16.5" thickBot="1">
      <c r="A312" s="1365">
        <v>30</v>
      </c>
      <c r="B312" s="1349" t="s">
        <v>531</v>
      </c>
      <c r="C312" s="1332" t="s">
        <v>62</v>
      </c>
      <c r="D312" s="1350">
        <v>4</v>
      </c>
      <c r="E312" s="1351"/>
      <c r="F312" s="1364">
        <f t="shared" si="26"/>
        <v>0</v>
      </c>
      <c r="G312" s="1335"/>
      <c r="I312" s="584"/>
      <c r="J312" s="669" t="s">
        <v>25</v>
      </c>
      <c r="K312" s="670" t="s">
        <v>197</v>
      </c>
      <c r="L312" s="828">
        <v>0.1</v>
      </c>
      <c r="M312" s="541"/>
      <c r="N312" s="847">
        <v>1</v>
      </c>
      <c r="O312" s="461"/>
      <c r="S312" s="385" t="s">
        <v>223</v>
      </c>
      <c r="T312" s="385"/>
      <c r="U312" s="385"/>
      <c r="V312" s="385"/>
      <c r="W312" s="385"/>
      <c r="X312" s="385"/>
      <c r="Y312" s="88">
        <f>SUM(Y308:Y311)</f>
        <v>2.6181450826471151</v>
      </c>
      <c r="Z312" s="101"/>
      <c r="AA312" s="101"/>
      <c r="AB312" s="57"/>
    </row>
    <row r="313" spans="1:28" ht="23.25" customHeight="1" thickBot="1">
      <c r="A313" s="1377">
        <v>31</v>
      </c>
      <c r="B313" s="1378" t="s">
        <v>532</v>
      </c>
      <c r="C313" s="1379" t="s">
        <v>62</v>
      </c>
      <c r="D313" s="1380">
        <v>1</v>
      </c>
      <c r="E313" s="1381"/>
      <c r="F313" s="1382">
        <f t="shared" si="26"/>
        <v>0</v>
      </c>
      <c r="G313" s="171"/>
      <c r="I313" s="643" t="s">
        <v>5</v>
      </c>
      <c r="J313" s="644"/>
      <c r="K313" s="826"/>
      <c r="L313" s="826"/>
      <c r="M313" s="644"/>
      <c r="N313" s="846"/>
      <c r="O313" s="646"/>
      <c r="S313" s="57"/>
      <c r="T313" s="57"/>
      <c r="U313" s="57"/>
      <c r="V313" s="57"/>
      <c r="W313" s="57"/>
      <c r="X313" s="57"/>
      <c r="Y313" s="101"/>
      <c r="Z313" s="101"/>
      <c r="AA313" s="101"/>
      <c r="AB313" s="57"/>
    </row>
    <row r="314" spans="1:28" ht="15.75" thickBot="1">
      <c r="A314" s="1383"/>
      <c r="B314" s="1384"/>
      <c r="C314" s="1385"/>
      <c r="D314" s="1386"/>
      <c r="E314" s="1387"/>
      <c r="F314" s="1387"/>
      <c r="G314" s="171"/>
      <c r="S314" s="57"/>
      <c r="T314" s="57"/>
      <c r="U314" s="57"/>
      <c r="V314" s="57"/>
      <c r="W314" s="57"/>
      <c r="X314" s="57"/>
      <c r="Y314" s="101"/>
      <c r="Z314" s="101"/>
      <c r="AA314" s="101"/>
      <c r="AB314" s="57"/>
    </row>
    <row r="315" spans="1:28" ht="16.5" thickBot="1">
      <c r="A315" s="1948" t="s">
        <v>5</v>
      </c>
      <c r="B315" s="1949"/>
      <c r="C315" s="1949"/>
      <c r="D315" s="1949"/>
      <c r="E315" s="1949"/>
      <c r="F315" s="1266">
        <f>SUM(F281:F313)</f>
        <v>0</v>
      </c>
      <c r="G315" s="171"/>
      <c r="S315" s="103" t="s">
        <v>218</v>
      </c>
      <c r="T315" s="321"/>
      <c r="U315" s="104"/>
      <c r="V315" s="104"/>
      <c r="W315" s="104"/>
      <c r="X315" s="104"/>
      <c r="Y315" s="104"/>
      <c r="Z315" s="104"/>
      <c r="AA315" s="105"/>
      <c r="AB315" s="57"/>
    </row>
    <row r="316" spans="1:28" ht="19.5" customHeight="1" thickBot="1">
      <c r="A316" s="1178"/>
      <c r="B316" s="1178"/>
      <c r="C316" s="1178"/>
      <c r="D316" s="1178"/>
      <c r="E316" s="1178"/>
      <c r="F316" s="1195"/>
      <c r="G316" s="171"/>
      <c r="I316" s="406" t="s">
        <v>6</v>
      </c>
      <c r="J316" s="407" t="s">
        <v>7</v>
      </c>
      <c r="K316" s="439" t="s">
        <v>0</v>
      </c>
      <c r="L316" s="439" t="s">
        <v>8</v>
      </c>
      <c r="M316" s="407"/>
      <c r="N316" s="839" t="s">
        <v>387</v>
      </c>
      <c r="O316" s="409"/>
      <c r="S316" s="1806" t="s">
        <v>120</v>
      </c>
      <c r="T316" s="1807"/>
      <c r="U316" s="1808"/>
      <c r="V316" s="108" t="s">
        <v>219</v>
      </c>
      <c r="W316" s="108" t="s">
        <v>1</v>
      </c>
      <c r="X316" s="109" t="s">
        <v>221</v>
      </c>
      <c r="Y316" s="109" t="s">
        <v>222</v>
      </c>
      <c r="Z316" s="109" t="s">
        <v>223</v>
      </c>
      <c r="AA316" s="108" t="s">
        <v>224</v>
      </c>
      <c r="AB316" s="57"/>
    </row>
    <row r="317" spans="1:28" ht="28.5" customHeight="1">
      <c r="A317" s="1950" t="s">
        <v>534</v>
      </c>
      <c r="B317" s="1951"/>
      <c r="C317" s="1951"/>
      <c r="D317" s="1951"/>
      <c r="E317" s="1951"/>
      <c r="F317" s="1952"/>
      <c r="G317" s="171"/>
      <c r="I317" s="410"/>
      <c r="J317" s="478" t="s">
        <v>166</v>
      </c>
      <c r="K317" s="420" t="s">
        <v>31</v>
      </c>
      <c r="L317" s="830"/>
      <c r="M317" s="585"/>
      <c r="N317" s="851"/>
      <c r="O317" s="623"/>
      <c r="S317" s="1935" t="s">
        <v>238</v>
      </c>
      <c r="T317" s="324"/>
      <c r="U317" s="108" t="s">
        <v>239</v>
      </c>
      <c r="V317" s="110">
        <v>1.9</v>
      </c>
      <c r="W317" s="110">
        <f>ROUND(((1.5/0.2)+(1.74/0.2)),0)</f>
        <v>16</v>
      </c>
      <c r="X317" s="110">
        <v>2</v>
      </c>
      <c r="Y317" s="111">
        <v>0.99399999999999999</v>
      </c>
      <c r="Z317" s="110">
        <f t="shared" ref="Z317:Z322" si="29">+PRODUCT(O388:R388)</f>
        <v>0</v>
      </c>
      <c r="AA317" s="68" t="s">
        <v>227</v>
      </c>
      <c r="AB317" s="57"/>
    </row>
    <row r="318" spans="1:28" ht="21.95" customHeight="1" thickBot="1">
      <c r="A318" s="1953" t="s">
        <v>535</v>
      </c>
      <c r="B318" s="1954"/>
      <c r="C318" s="1954"/>
      <c r="D318" s="1954"/>
      <c r="E318" s="1954"/>
      <c r="F318" s="1955"/>
      <c r="G318" s="171"/>
      <c r="I318" s="411"/>
      <c r="J318" s="664"/>
      <c r="K318" s="666"/>
      <c r="L318" s="806"/>
      <c r="M318" s="414"/>
      <c r="N318" s="477"/>
      <c r="O318" s="455"/>
      <c r="S318" s="1935"/>
      <c r="T318" s="324"/>
      <c r="U318" s="108" t="s">
        <v>230</v>
      </c>
      <c r="V318" s="110">
        <v>1.5</v>
      </c>
      <c r="W318" s="110">
        <f>ROUND((1.85/0.2),0)</f>
        <v>9</v>
      </c>
      <c r="X318" s="110">
        <v>2</v>
      </c>
      <c r="Y318" s="127">
        <v>0.56000000000000005</v>
      </c>
      <c r="Z318" s="110">
        <f t="shared" si="29"/>
        <v>0</v>
      </c>
      <c r="AA318" s="79" t="s">
        <v>240</v>
      </c>
      <c r="AB318" s="57"/>
    </row>
    <row r="319" spans="1:28" ht="16.5" thickBot="1">
      <c r="A319" s="1388"/>
      <c r="B319" s="1389"/>
      <c r="C319" s="1389"/>
      <c r="D319" s="1389"/>
      <c r="E319" s="1389"/>
      <c r="F319" s="1389"/>
      <c r="G319" s="171"/>
      <c r="I319" s="411"/>
      <c r="J319" s="664" t="s">
        <v>200</v>
      </c>
      <c r="K319" s="666" t="s">
        <v>23</v>
      </c>
      <c r="L319" s="546">
        <v>1</v>
      </c>
      <c r="M319" s="414"/>
      <c r="N319" s="849"/>
      <c r="O319" s="455"/>
      <c r="S319" s="1935"/>
      <c r="T319" s="324"/>
      <c r="U319" s="108" t="s">
        <v>230</v>
      </c>
      <c r="V319" s="110">
        <v>1.74</v>
      </c>
      <c r="W319" s="110">
        <f>ROUND((1.85/0.2),0)</f>
        <v>9</v>
      </c>
      <c r="X319" s="110">
        <v>2</v>
      </c>
      <c r="Y319" s="127">
        <v>0.56000000000000005</v>
      </c>
      <c r="Z319" s="110">
        <f t="shared" si="29"/>
        <v>0</v>
      </c>
      <c r="AA319" s="79" t="s">
        <v>240</v>
      </c>
      <c r="AB319" s="57"/>
    </row>
    <row r="320" spans="1:28" ht="21.75" customHeight="1" thickBot="1">
      <c r="A320" s="1236" t="s">
        <v>426</v>
      </c>
      <c r="B320" s="1237" t="s">
        <v>7</v>
      </c>
      <c r="C320" s="1237" t="s">
        <v>0</v>
      </c>
      <c r="D320" s="1237" t="s">
        <v>8</v>
      </c>
      <c r="E320" s="1237" t="s">
        <v>2</v>
      </c>
      <c r="F320" s="1238" t="s">
        <v>9</v>
      </c>
      <c r="G320" s="171"/>
      <c r="I320" s="411"/>
      <c r="J320" s="664" t="s">
        <v>137</v>
      </c>
      <c r="K320" s="666" t="s">
        <v>10</v>
      </c>
      <c r="L320" s="546">
        <v>0.25</v>
      </c>
      <c r="M320" s="414"/>
      <c r="N320" s="849">
        <v>0.08</v>
      </c>
      <c r="O320" s="455"/>
      <c r="S320" s="1800" t="s">
        <v>225</v>
      </c>
      <c r="T320" s="325"/>
      <c r="U320" s="108" t="s">
        <v>226</v>
      </c>
      <c r="V320" s="94">
        <v>1.74</v>
      </c>
      <c r="W320" s="110">
        <f>ROUND((1.84/0.15),0)</f>
        <v>12</v>
      </c>
      <c r="X320" s="110">
        <v>2</v>
      </c>
      <c r="Y320" s="111">
        <v>0.99399999999999999</v>
      </c>
      <c r="Z320" s="110">
        <f t="shared" si="29"/>
        <v>0</v>
      </c>
      <c r="AA320" s="68" t="s">
        <v>227</v>
      </c>
      <c r="AB320" s="89">
        <f>1.84*1.84</f>
        <v>3.3856000000000002</v>
      </c>
    </row>
    <row r="321" spans="1:28" ht="15.75">
      <c r="A321" s="1390">
        <v>1</v>
      </c>
      <c r="B321" s="1404" t="s">
        <v>536</v>
      </c>
      <c r="C321" s="1405" t="s">
        <v>80</v>
      </c>
      <c r="D321" s="1406">
        <v>20</v>
      </c>
      <c r="E321" s="1407"/>
      <c r="F321" s="1358">
        <f t="shared" ref="F321:F325" si="30">+E321*D321</f>
        <v>0</v>
      </c>
      <c r="G321" s="171"/>
      <c r="I321" s="411"/>
      <c r="J321" s="664" t="s">
        <v>55</v>
      </c>
      <c r="K321" s="666" t="s">
        <v>10</v>
      </c>
      <c r="L321" s="546">
        <v>0.25</v>
      </c>
      <c r="M321" s="414"/>
      <c r="N321" s="849">
        <v>0.08</v>
      </c>
      <c r="O321" s="455"/>
      <c r="S321" s="1810"/>
      <c r="T321" s="327"/>
      <c r="U321" s="108" t="s">
        <v>228</v>
      </c>
      <c r="V321" s="110">
        <v>1</v>
      </c>
      <c r="W321" s="110">
        <v>4</v>
      </c>
      <c r="X321" s="110">
        <v>1</v>
      </c>
      <c r="Y321" s="111">
        <v>0.99399999999999999</v>
      </c>
      <c r="Z321" s="110">
        <f t="shared" si="29"/>
        <v>0</v>
      </c>
      <c r="AA321" s="68" t="s">
        <v>227</v>
      </c>
      <c r="AB321" s="89">
        <f>0.25*3.14</f>
        <v>0.78500000000000003</v>
      </c>
    </row>
    <row r="322" spans="1:28" ht="24" customHeight="1">
      <c r="A322" s="1391">
        <v>2</v>
      </c>
      <c r="B322" s="1360" t="s">
        <v>465</v>
      </c>
      <c r="C322" s="1361" t="s">
        <v>80</v>
      </c>
      <c r="D322" s="1376">
        <v>5</v>
      </c>
      <c r="E322" s="1363"/>
      <c r="F322" s="1364">
        <f t="shared" si="30"/>
        <v>0</v>
      </c>
      <c r="G322" s="171"/>
      <c r="I322" s="411"/>
      <c r="J322" s="664"/>
      <c r="K322" s="666"/>
      <c r="L322" s="805"/>
      <c r="M322" s="414"/>
      <c r="N322" s="477"/>
      <c r="O322" s="455"/>
      <c r="S322" s="1810"/>
      <c r="T322" s="327"/>
      <c r="U322" s="108" t="s">
        <v>242</v>
      </c>
      <c r="V322" s="110">
        <v>1.7</v>
      </c>
      <c r="W322" s="110">
        <v>4</v>
      </c>
      <c r="X322" s="110">
        <v>1</v>
      </c>
      <c r="Y322" s="111">
        <v>1.552</v>
      </c>
      <c r="Z322" s="110">
        <f t="shared" si="29"/>
        <v>0</v>
      </c>
      <c r="AA322" s="130" t="s">
        <v>243</v>
      </c>
      <c r="AB322" s="57"/>
    </row>
    <row r="323" spans="1:28" ht="34.5" customHeight="1">
      <c r="A323" s="1392">
        <v>3</v>
      </c>
      <c r="B323" s="1368" t="s">
        <v>81</v>
      </c>
      <c r="C323" s="1393" t="s">
        <v>62</v>
      </c>
      <c r="D323" s="1394">
        <v>0.35</v>
      </c>
      <c r="E323" s="1363"/>
      <c r="F323" s="1364">
        <f t="shared" si="30"/>
        <v>0</v>
      </c>
      <c r="G323" s="171"/>
      <c r="I323" s="411"/>
      <c r="J323" s="664" t="s">
        <v>37</v>
      </c>
      <c r="K323" s="666" t="s">
        <v>12</v>
      </c>
      <c r="L323" s="806">
        <v>1</v>
      </c>
      <c r="M323" s="414"/>
      <c r="N323" s="477">
        <v>0.05</v>
      </c>
      <c r="O323" s="455"/>
      <c r="S323" s="1801"/>
      <c r="T323" s="116"/>
      <c r="U323" s="123" t="s">
        <v>236</v>
      </c>
      <c r="V323" s="124"/>
      <c r="W323" s="124"/>
      <c r="X323" s="124"/>
      <c r="Y323" s="125"/>
      <c r="Z323" s="110">
        <f>-(AB321*Z320)/AB320</f>
        <v>0</v>
      </c>
      <c r="AA323" s="79"/>
      <c r="AB323" s="57"/>
    </row>
    <row r="324" spans="1:28" ht="16.5" thickBot="1">
      <c r="A324" s="1391">
        <v>4</v>
      </c>
      <c r="B324" s="1395" t="s">
        <v>537</v>
      </c>
      <c r="C324" s="1396" t="s">
        <v>62</v>
      </c>
      <c r="D324" s="1376">
        <v>1</v>
      </c>
      <c r="E324" s="1363"/>
      <c r="F324" s="1364">
        <f>+E324*D324</f>
        <v>0</v>
      </c>
      <c r="G324" s="171"/>
      <c r="I324" s="415"/>
      <c r="J324" s="669" t="s">
        <v>25</v>
      </c>
      <c r="K324" s="670" t="s">
        <v>197</v>
      </c>
      <c r="L324" s="828">
        <v>0.1</v>
      </c>
      <c r="M324" s="541"/>
      <c r="N324" s="847">
        <v>1</v>
      </c>
      <c r="O324" s="461"/>
      <c r="S324" s="133" t="s">
        <v>223</v>
      </c>
      <c r="T324" s="134"/>
      <c r="U324" s="134"/>
      <c r="V324" s="134"/>
      <c r="W324" s="134"/>
      <c r="X324" s="134"/>
      <c r="Y324" s="135"/>
      <c r="Z324" s="110">
        <f>SUM(Z317:Z323)</f>
        <v>0</v>
      </c>
      <c r="AA324" s="94"/>
      <c r="AB324" s="57"/>
    </row>
    <row r="325" spans="1:28" ht="39" customHeight="1" thickBot="1">
      <c r="A325" s="1391" t="s">
        <v>538</v>
      </c>
      <c r="B325" s="1374" t="s">
        <v>539</v>
      </c>
      <c r="C325" s="1373" t="s">
        <v>3</v>
      </c>
      <c r="D325" s="1376">
        <v>11.5</v>
      </c>
      <c r="E325" s="1397"/>
      <c r="F325" s="1364">
        <f t="shared" si="30"/>
        <v>0</v>
      </c>
      <c r="G325" s="171"/>
      <c r="I325" s="643" t="s">
        <v>5</v>
      </c>
      <c r="J325" s="644"/>
      <c r="K325" s="826"/>
      <c r="L325" s="826"/>
      <c r="M325" s="644"/>
      <c r="N325" s="846"/>
      <c r="O325" s="646"/>
      <c r="S325" s="57"/>
      <c r="T325" s="57"/>
      <c r="U325" s="100"/>
      <c r="V325" s="100"/>
      <c r="W325" s="100"/>
      <c r="X325" s="100"/>
      <c r="Y325" s="100"/>
      <c r="Z325" s="100"/>
      <c r="AA325" s="101"/>
      <c r="AB325" s="57"/>
    </row>
    <row r="326" spans="1:28" ht="15.75" thickBot="1">
      <c r="A326" s="1392">
        <v>6</v>
      </c>
      <c r="B326" s="1360" t="s">
        <v>159</v>
      </c>
      <c r="C326" s="1396" t="s">
        <v>80</v>
      </c>
      <c r="D326" s="1376">
        <f>(3.9+2.9)*2</f>
        <v>13.6</v>
      </c>
      <c r="E326" s="1397"/>
      <c r="F326" s="1364">
        <f>+E326*D326</f>
        <v>0</v>
      </c>
      <c r="G326" s="171"/>
      <c r="S326" s="100"/>
      <c r="T326" s="100"/>
      <c r="U326" s="100"/>
      <c r="V326" s="100"/>
      <c r="W326" s="100"/>
      <c r="X326" s="100"/>
      <c r="Y326" s="100"/>
      <c r="Z326" s="100"/>
      <c r="AA326" s="114"/>
      <c r="AB326" s="57"/>
    </row>
    <row r="327" spans="1:28" ht="16.5" thickBot="1">
      <c r="A327" s="1391">
        <v>7</v>
      </c>
      <c r="B327" s="1360" t="s">
        <v>160</v>
      </c>
      <c r="C327" s="1373" t="s">
        <v>3</v>
      </c>
      <c r="D327" s="1376">
        <f>3.9*2.9</f>
        <v>11.309999999999999</v>
      </c>
      <c r="E327" s="1397"/>
      <c r="F327" s="1364">
        <f t="shared" ref="F327:F330" si="31">+E327*D327</f>
        <v>0</v>
      </c>
      <c r="G327" s="171"/>
      <c r="I327" s="406" t="s">
        <v>6</v>
      </c>
      <c r="J327" s="407" t="s">
        <v>7</v>
      </c>
      <c r="K327" s="439" t="s">
        <v>0</v>
      </c>
      <c r="L327" s="439" t="s">
        <v>8</v>
      </c>
      <c r="M327" s="407"/>
      <c r="N327" s="839" t="s">
        <v>387</v>
      </c>
      <c r="O327" s="409"/>
      <c r="S327" s="106" t="s">
        <v>229</v>
      </c>
      <c r="T327" s="322"/>
      <c r="U327" s="112"/>
      <c r="V327" s="112"/>
      <c r="W327" s="112"/>
      <c r="X327" s="112"/>
      <c r="Y327" s="107"/>
      <c r="Z327" s="101"/>
      <c r="AA327" s="101"/>
      <c r="AB327" s="57"/>
    </row>
    <row r="328" spans="1:28" ht="20.25">
      <c r="A328" s="1392" t="s">
        <v>511</v>
      </c>
      <c r="B328" s="1409" t="s">
        <v>540</v>
      </c>
      <c r="C328" s="1344" t="s">
        <v>3</v>
      </c>
      <c r="D328" s="1410">
        <v>1</v>
      </c>
      <c r="E328" s="1334"/>
      <c r="F328" s="1364">
        <f t="shared" si="31"/>
        <v>0</v>
      </c>
      <c r="G328" s="171"/>
      <c r="I328" s="511"/>
      <c r="J328" s="764" t="s">
        <v>150</v>
      </c>
      <c r="K328" s="749" t="s">
        <v>40</v>
      </c>
      <c r="L328" s="750"/>
      <c r="M328" s="751"/>
      <c r="N328" s="750"/>
      <c r="O328" s="752"/>
      <c r="S328" s="90" t="s">
        <v>120</v>
      </c>
      <c r="T328" s="324"/>
      <c r="U328" s="108" t="s">
        <v>230</v>
      </c>
      <c r="V328" s="108" t="s">
        <v>231</v>
      </c>
      <c r="W328" s="108" t="s">
        <v>232</v>
      </c>
      <c r="X328" s="108" t="s">
        <v>221</v>
      </c>
      <c r="Y328" s="108" t="s">
        <v>233</v>
      </c>
      <c r="Z328" s="101"/>
      <c r="AA328" s="101"/>
      <c r="AB328" s="57"/>
    </row>
    <row r="329" spans="1:28" ht="33" customHeight="1">
      <c r="A329" s="1392" t="s">
        <v>513</v>
      </c>
      <c r="B329" s="1409" t="s">
        <v>541</v>
      </c>
      <c r="C329" s="1344" t="s">
        <v>3</v>
      </c>
      <c r="D329" s="1410">
        <v>1</v>
      </c>
      <c r="E329" s="1334"/>
      <c r="F329" s="1364">
        <f t="shared" si="31"/>
        <v>0</v>
      </c>
      <c r="G329" s="171"/>
      <c r="I329" s="512"/>
      <c r="J329" s="753" t="s">
        <v>13</v>
      </c>
      <c r="K329" s="754" t="s">
        <v>14</v>
      </c>
      <c r="L329" s="755">
        <v>0.1</v>
      </c>
      <c r="M329" s="756"/>
      <c r="N329" s="798">
        <v>1</v>
      </c>
      <c r="O329" s="757"/>
      <c r="S329" s="97" t="s">
        <v>234</v>
      </c>
      <c r="T329" s="97"/>
      <c r="U329" s="110">
        <v>1.8</v>
      </c>
      <c r="V329" s="110">
        <v>0.12</v>
      </c>
      <c r="W329" s="110">
        <v>1.5</v>
      </c>
      <c r="X329" s="110">
        <v>2</v>
      </c>
      <c r="Y329" s="115">
        <f>+X329*W329*V329*U329</f>
        <v>0.64800000000000002</v>
      </c>
      <c r="Z329" s="101"/>
      <c r="AA329" s="101"/>
      <c r="AB329" s="57"/>
    </row>
    <row r="330" spans="1:28">
      <c r="A330" s="1392" t="s">
        <v>542</v>
      </c>
      <c r="B330" s="1409" t="s">
        <v>543</v>
      </c>
      <c r="C330" s="1344" t="s">
        <v>3</v>
      </c>
      <c r="D330" s="1350">
        <v>1</v>
      </c>
      <c r="E330" s="1334"/>
      <c r="F330" s="1364">
        <f t="shared" si="31"/>
        <v>0</v>
      </c>
      <c r="G330" s="171"/>
      <c r="I330" s="512"/>
      <c r="J330" s="753" t="s">
        <v>15</v>
      </c>
      <c r="K330" s="754" t="s">
        <v>14</v>
      </c>
      <c r="L330" s="755">
        <v>0.1</v>
      </c>
      <c r="M330" s="756"/>
      <c r="N330" s="798">
        <v>1</v>
      </c>
      <c r="O330" s="757"/>
      <c r="S330" s="97" t="s">
        <v>234</v>
      </c>
      <c r="T330" s="97"/>
      <c r="U330" s="110">
        <v>1.8</v>
      </c>
      <c r="V330" s="110">
        <v>0.12</v>
      </c>
      <c r="W330" s="110">
        <v>1.74</v>
      </c>
      <c r="X330" s="110">
        <v>2</v>
      </c>
      <c r="Y330" s="115">
        <f>+X330*W330*V330*U330</f>
        <v>0.75168000000000001</v>
      </c>
      <c r="Z330" s="101"/>
      <c r="AA330" s="101"/>
      <c r="AB330" s="57"/>
    </row>
    <row r="331" spans="1:28" ht="15.75" thickBot="1">
      <c r="A331" s="1391">
        <v>11</v>
      </c>
      <c r="B331" s="1360" t="s">
        <v>150</v>
      </c>
      <c r="C331" s="1361" t="s">
        <v>4</v>
      </c>
      <c r="D331" s="1376">
        <f>3.9*2.9*2.4</f>
        <v>27.143999999999995</v>
      </c>
      <c r="E331" s="1249"/>
      <c r="F331" s="1364">
        <f t="shared" ref="F331:F349" si="32">+D331*E331</f>
        <v>0</v>
      </c>
      <c r="G331" s="171"/>
      <c r="I331" s="519"/>
      <c r="J331" s="758" t="s">
        <v>30</v>
      </c>
      <c r="K331" s="759" t="s">
        <v>12</v>
      </c>
      <c r="L331" s="760">
        <v>1</v>
      </c>
      <c r="M331" s="761"/>
      <c r="N331" s="760">
        <v>7.4999999999999997E-2</v>
      </c>
      <c r="O331" s="762"/>
      <c r="S331" s="89" t="s">
        <v>235</v>
      </c>
      <c r="T331" s="89"/>
      <c r="U331" s="94">
        <v>0.15</v>
      </c>
      <c r="V331" s="94">
        <v>1.74</v>
      </c>
      <c r="W331" s="94">
        <v>1.74</v>
      </c>
      <c r="X331" s="110">
        <v>1</v>
      </c>
      <c r="Y331" s="115">
        <f>+X331*W331*V331*U331</f>
        <v>0.45413999999999999</v>
      </c>
      <c r="Z331" s="57"/>
      <c r="AA331" s="101"/>
      <c r="AB331" s="57"/>
    </row>
    <row r="332" spans="1:28" ht="16.5" thickBot="1">
      <c r="A332" s="1392">
        <v>12</v>
      </c>
      <c r="B332" s="1368" t="s">
        <v>135</v>
      </c>
      <c r="C332" s="1361" t="s">
        <v>4</v>
      </c>
      <c r="D332" s="1376">
        <f>+(D327*0.12+D331)*1.15</f>
        <v>32.776379999999989</v>
      </c>
      <c r="E332" s="1397"/>
      <c r="F332" s="1364">
        <f t="shared" si="32"/>
        <v>0</v>
      </c>
      <c r="G332" s="171"/>
      <c r="I332" s="643" t="s">
        <v>5</v>
      </c>
      <c r="J332" s="644"/>
      <c r="K332" s="826"/>
      <c r="L332" s="826"/>
      <c r="M332" s="644"/>
      <c r="N332" s="846"/>
      <c r="O332" s="646"/>
      <c r="S332" s="97"/>
      <c r="T332" s="97"/>
      <c r="U332" s="94"/>
      <c r="V332" s="94"/>
      <c r="W332" s="94"/>
      <c r="X332" s="110"/>
      <c r="Y332" s="115"/>
      <c r="Z332" s="101"/>
      <c r="AA332" s="101"/>
      <c r="AB332" s="57"/>
    </row>
    <row r="333" spans="1:28" ht="16.5" thickBot="1">
      <c r="A333" s="1391">
        <v>13</v>
      </c>
      <c r="B333" s="1368" t="s">
        <v>83</v>
      </c>
      <c r="C333" s="1361" t="s">
        <v>4</v>
      </c>
      <c r="D333" s="1376">
        <f>+D332</f>
        <v>32.776379999999989</v>
      </c>
      <c r="E333" s="1397"/>
      <c r="F333" s="1364">
        <f t="shared" si="32"/>
        <v>0</v>
      </c>
      <c r="G333" s="171"/>
      <c r="S333" s="385" t="s">
        <v>223</v>
      </c>
      <c r="T333" s="385"/>
      <c r="U333" s="385"/>
      <c r="V333" s="385"/>
      <c r="W333" s="385"/>
      <c r="X333" s="385"/>
      <c r="Y333" s="88">
        <f>SUM(Y329:Y332)</f>
        <v>1.85382</v>
      </c>
      <c r="Z333" s="57"/>
      <c r="AA333" s="57"/>
      <c r="AB333" s="57"/>
    </row>
    <row r="334" spans="1:28" ht="16.5" customHeight="1" thickBot="1">
      <c r="A334" s="1391">
        <v>14</v>
      </c>
      <c r="B334" s="1360" t="s">
        <v>516</v>
      </c>
      <c r="C334" s="1361" t="s">
        <v>4</v>
      </c>
      <c r="D334" s="1376">
        <f>3.9*2.9*0.15</f>
        <v>1.6964999999999997</v>
      </c>
      <c r="E334" s="1397"/>
      <c r="F334" s="1364">
        <f t="shared" si="32"/>
        <v>0</v>
      </c>
      <c r="G334" s="171"/>
      <c r="I334" s="406" t="s">
        <v>6</v>
      </c>
      <c r="J334" s="407" t="s">
        <v>7</v>
      </c>
      <c r="K334" s="439" t="s">
        <v>0</v>
      </c>
      <c r="L334" s="439" t="s">
        <v>8</v>
      </c>
      <c r="M334" s="407"/>
      <c r="N334" s="839" t="s">
        <v>387</v>
      </c>
      <c r="O334" s="409"/>
    </row>
    <row r="335" spans="1:28" ht="15.75">
      <c r="A335" s="1392">
        <v>15</v>
      </c>
      <c r="B335" s="1330" t="s">
        <v>517</v>
      </c>
      <c r="C335" s="1411" t="s">
        <v>80</v>
      </c>
      <c r="D335" s="1350">
        <f>(3.9*2+2.5*2)</f>
        <v>12.8</v>
      </c>
      <c r="E335" s="1334"/>
      <c r="F335" s="1364">
        <f t="shared" si="32"/>
        <v>0</v>
      </c>
      <c r="G335" s="171"/>
      <c r="I335" s="410"/>
      <c r="J335" s="478" t="s">
        <v>164</v>
      </c>
      <c r="K335" s="420"/>
      <c r="L335" s="545"/>
      <c r="M335" s="585"/>
      <c r="N335" s="830"/>
      <c r="O335" s="481"/>
    </row>
    <row r="336" spans="1:28" ht="20.25" customHeight="1">
      <c r="A336" s="1391">
        <v>16</v>
      </c>
      <c r="B336" s="1330" t="s">
        <v>518</v>
      </c>
      <c r="C336" s="1411" t="s">
        <v>80</v>
      </c>
      <c r="D336" s="1350">
        <f>2.5+1.1*2</f>
        <v>4.7</v>
      </c>
      <c r="E336" s="1334"/>
      <c r="F336" s="1364">
        <f t="shared" si="32"/>
        <v>0</v>
      </c>
      <c r="G336" s="171"/>
      <c r="I336" s="411"/>
      <c r="J336" s="418" t="s">
        <v>39</v>
      </c>
      <c r="K336" s="421" t="s">
        <v>63</v>
      </c>
      <c r="L336" s="498">
        <v>2.46</v>
      </c>
      <c r="M336" s="414"/>
      <c r="N336" s="546">
        <v>1.05</v>
      </c>
      <c r="O336" s="455"/>
    </row>
    <row r="337" spans="1:39" ht="27" customHeight="1">
      <c r="A337" s="1391">
        <v>17</v>
      </c>
      <c r="B337" s="1412" t="s">
        <v>519</v>
      </c>
      <c r="C337" s="1332" t="s">
        <v>4</v>
      </c>
      <c r="D337" s="1350">
        <v>10.5</v>
      </c>
      <c r="E337" s="1334"/>
      <c r="F337" s="1364">
        <f t="shared" si="32"/>
        <v>0</v>
      </c>
      <c r="G337" s="171"/>
      <c r="I337" s="411"/>
      <c r="J337" s="418" t="s">
        <v>181</v>
      </c>
      <c r="K337" s="421" t="s">
        <v>63</v>
      </c>
      <c r="L337" s="498">
        <v>0.2</v>
      </c>
      <c r="M337" s="414"/>
      <c r="N337" s="546"/>
      <c r="O337" s="455"/>
      <c r="S337" s="50"/>
      <c r="T337" s="50"/>
      <c r="U337" s="1806" t="s">
        <v>257</v>
      </c>
      <c r="V337" s="1807"/>
      <c r="W337" s="1807"/>
      <c r="X337" s="1807"/>
      <c r="Y337" s="1807"/>
      <c r="Z337" s="1807"/>
      <c r="AA337" s="1808"/>
      <c r="AB337" s="73"/>
      <c r="AC337" s="57"/>
      <c r="AD337" s="57"/>
      <c r="AE337" s="57"/>
      <c r="AF337" s="57"/>
    </row>
    <row r="338" spans="1:39" ht="28.5">
      <c r="A338" s="1392">
        <v>18</v>
      </c>
      <c r="B338" s="1349" t="s">
        <v>544</v>
      </c>
      <c r="C338" s="1344" t="s">
        <v>3</v>
      </c>
      <c r="D338" s="1350">
        <v>1.83</v>
      </c>
      <c r="E338" s="1334"/>
      <c r="F338" s="1364">
        <f t="shared" si="32"/>
        <v>0</v>
      </c>
      <c r="G338" s="171"/>
      <c r="I338" s="411"/>
      <c r="J338" s="418" t="s">
        <v>71</v>
      </c>
      <c r="K338" s="421" t="s">
        <v>12</v>
      </c>
      <c r="L338" s="498">
        <v>0.2</v>
      </c>
      <c r="M338" s="414"/>
      <c r="N338" s="546"/>
      <c r="O338" s="455"/>
      <c r="S338" s="50"/>
      <c r="T338" s="50"/>
      <c r="U338" s="380" t="s">
        <v>258</v>
      </c>
      <c r="V338" s="380"/>
      <c r="W338" s="385" t="s">
        <v>259</v>
      </c>
      <c r="X338" s="385" t="s">
        <v>260</v>
      </c>
      <c r="Y338" s="385" t="s">
        <v>261</v>
      </c>
      <c r="Z338" s="385" t="s">
        <v>262</v>
      </c>
      <c r="AA338" s="385" t="s">
        <v>233</v>
      </c>
      <c r="AB338" s="101"/>
      <c r="AC338" s="57"/>
      <c r="AD338" s="57"/>
      <c r="AE338" s="57"/>
      <c r="AF338" s="57"/>
    </row>
    <row r="339" spans="1:39">
      <c r="A339" s="1391">
        <v>19</v>
      </c>
      <c r="B339" s="1330" t="s">
        <v>185</v>
      </c>
      <c r="C339" s="1411" t="s">
        <v>86</v>
      </c>
      <c r="D339" s="1350">
        <v>10</v>
      </c>
      <c r="E339" s="1334"/>
      <c r="F339" s="1364">
        <f>+D339*E339</f>
        <v>0</v>
      </c>
      <c r="G339" s="171"/>
      <c r="I339" s="411"/>
      <c r="J339" s="417" t="s">
        <v>24</v>
      </c>
      <c r="K339" s="413" t="s">
        <v>12</v>
      </c>
      <c r="L339" s="438">
        <v>0.111</v>
      </c>
      <c r="M339" s="414"/>
      <c r="N339" s="438"/>
      <c r="O339" s="455"/>
      <c r="S339" s="50"/>
      <c r="T339" s="50"/>
      <c r="U339" s="97" t="s">
        <v>263</v>
      </c>
      <c r="V339" s="97"/>
      <c r="W339" s="61">
        <v>2</v>
      </c>
      <c r="X339" s="158">
        <v>3.6</v>
      </c>
      <c r="Y339" s="158">
        <v>0.2</v>
      </c>
      <c r="Z339" s="158">
        <v>2.4</v>
      </c>
      <c r="AA339" s="158">
        <f t="shared" ref="AA339:AA351" si="33">+PRODUCT(W339:Z339)</f>
        <v>3.4560000000000004</v>
      </c>
      <c r="AB339" s="57"/>
      <c r="AC339" s="57"/>
      <c r="AD339" s="57"/>
      <c r="AE339" s="57"/>
      <c r="AF339" s="57"/>
    </row>
    <row r="340" spans="1:39" ht="28.5">
      <c r="A340" s="1391">
        <v>20</v>
      </c>
      <c r="B340" s="1160" t="s">
        <v>545</v>
      </c>
      <c r="C340" s="1396" t="s">
        <v>86</v>
      </c>
      <c r="D340" s="1376">
        <v>1</v>
      </c>
      <c r="E340" s="1363"/>
      <c r="F340" s="1364">
        <f t="shared" si="32"/>
        <v>0</v>
      </c>
      <c r="G340" s="171"/>
      <c r="I340" s="411"/>
      <c r="J340" s="417" t="s">
        <v>182</v>
      </c>
      <c r="K340" s="413" t="s">
        <v>125</v>
      </c>
      <c r="L340" s="438">
        <v>0.18</v>
      </c>
      <c r="M340" s="414"/>
      <c r="N340" s="438"/>
      <c r="O340" s="455"/>
      <c r="S340" s="57"/>
      <c r="T340" s="57"/>
      <c r="U340" s="97" t="s">
        <v>264</v>
      </c>
      <c r="V340" s="97"/>
      <c r="W340" s="61">
        <v>2</v>
      </c>
      <c r="X340" s="158">
        <v>2.1</v>
      </c>
      <c r="Y340" s="158">
        <v>0.2</v>
      </c>
      <c r="Z340" s="158">
        <v>2.4</v>
      </c>
      <c r="AA340" s="158">
        <f t="shared" si="33"/>
        <v>2.016</v>
      </c>
      <c r="AB340" s="57"/>
      <c r="AC340" s="57"/>
      <c r="AD340" s="57"/>
      <c r="AE340" s="57"/>
      <c r="AF340" s="57"/>
    </row>
    <row r="341" spans="1:39" ht="29.25" thickBot="1">
      <c r="A341" s="1392">
        <v>21</v>
      </c>
      <c r="B341" s="1349" t="s">
        <v>546</v>
      </c>
      <c r="C341" s="1411" t="s">
        <v>86</v>
      </c>
      <c r="D341" s="1350">
        <f>1.85*0.91</f>
        <v>1.6835000000000002</v>
      </c>
      <c r="E341" s="1334"/>
      <c r="F341" s="1364">
        <f t="shared" si="32"/>
        <v>0</v>
      </c>
      <c r="G341" s="171"/>
      <c r="I341" s="415"/>
      <c r="J341" s="419" t="s">
        <v>183</v>
      </c>
      <c r="K341" s="426" t="s">
        <v>125</v>
      </c>
      <c r="L341" s="499">
        <v>8.3000000000000004E-2</v>
      </c>
      <c r="M341" s="460"/>
      <c r="N341" s="842">
        <v>1</v>
      </c>
      <c r="O341" s="461"/>
      <c r="S341" s="57"/>
      <c r="T341" s="57"/>
      <c r="U341" s="97" t="s">
        <v>265</v>
      </c>
      <c r="V341" s="97"/>
      <c r="W341" s="61">
        <v>-2</v>
      </c>
      <c r="X341" s="158">
        <v>-1.2</v>
      </c>
      <c r="Y341" s="158">
        <v>0.2</v>
      </c>
      <c r="Z341" s="158">
        <v>0.65</v>
      </c>
      <c r="AA341" s="158">
        <f t="shared" si="33"/>
        <v>0.312</v>
      </c>
      <c r="AB341" s="57"/>
      <c r="AC341" s="57"/>
      <c r="AD341" s="57"/>
      <c r="AE341" s="57"/>
      <c r="AF341" s="57"/>
    </row>
    <row r="342" spans="1:39" ht="32.1" customHeight="1" thickBot="1">
      <c r="A342" s="1391">
        <v>22</v>
      </c>
      <c r="B342" s="1160" t="s">
        <v>547</v>
      </c>
      <c r="C342" s="1396" t="s">
        <v>63</v>
      </c>
      <c r="D342" s="1376">
        <v>670</v>
      </c>
      <c r="E342" s="1363"/>
      <c r="F342" s="1364">
        <f t="shared" si="32"/>
        <v>0</v>
      </c>
      <c r="G342" s="171"/>
      <c r="I342" s="643" t="s">
        <v>5</v>
      </c>
      <c r="J342" s="644"/>
      <c r="K342" s="826"/>
      <c r="L342" s="826"/>
      <c r="M342" s="644"/>
      <c r="N342" s="846"/>
      <c r="O342" s="646"/>
      <c r="S342" s="57"/>
      <c r="T342" s="57"/>
      <c r="U342" s="97" t="s">
        <v>266</v>
      </c>
      <c r="V342" s="97"/>
      <c r="W342" s="61">
        <v>1</v>
      </c>
      <c r="X342" s="79">
        <v>3.6</v>
      </c>
      <c r="Y342" s="79">
        <v>2.5</v>
      </c>
      <c r="Z342" s="158">
        <v>0.17</v>
      </c>
      <c r="AA342" s="158">
        <f t="shared" si="33"/>
        <v>1.53</v>
      </c>
      <c r="AB342" s="57"/>
      <c r="AC342" s="57"/>
      <c r="AD342" s="57"/>
      <c r="AE342" s="103" t="s">
        <v>218</v>
      </c>
      <c r="AF342" s="629"/>
      <c r="AG342" s="629"/>
      <c r="AH342" s="629"/>
      <c r="AI342" s="629"/>
      <c r="AJ342" s="629"/>
      <c r="AK342" s="629"/>
      <c r="AL342" s="629"/>
      <c r="AM342" s="630"/>
    </row>
    <row r="343" spans="1:39" ht="15.75">
      <c r="A343" s="1392">
        <v>23</v>
      </c>
      <c r="B343" s="1368" t="s">
        <v>548</v>
      </c>
      <c r="C343" s="1396" t="s">
        <v>86</v>
      </c>
      <c r="D343" s="1376">
        <f>2.1/0.35</f>
        <v>6.0000000000000009</v>
      </c>
      <c r="E343" s="1399"/>
      <c r="F343" s="1364">
        <f t="shared" si="32"/>
        <v>0</v>
      </c>
      <c r="G343" s="171"/>
      <c r="S343" s="57"/>
      <c r="T343" s="57"/>
      <c r="U343" s="97" t="s">
        <v>267</v>
      </c>
      <c r="V343" s="97"/>
      <c r="W343" s="61">
        <v>-1</v>
      </c>
      <c r="X343" s="79">
        <v>1</v>
      </c>
      <c r="Y343" s="79">
        <v>1</v>
      </c>
      <c r="Z343" s="158">
        <v>0.17</v>
      </c>
      <c r="AA343" s="158">
        <f t="shared" si="33"/>
        <v>-0.17</v>
      </c>
      <c r="AB343" s="57"/>
      <c r="AC343" s="57"/>
      <c r="AD343" s="57"/>
      <c r="AE343" s="627" t="s">
        <v>120</v>
      </c>
      <c r="AF343" s="632"/>
      <c r="AG343" s="385" t="s">
        <v>219</v>
      </c>
      <c r="AH343" s="385" t="s">
        <v>220</v>
      </c>
      <c r="AI343" s="385"/>
      <c r="AJ343" s="633" t="s">
        <v>221</v>
      </c>
      <c r="AK343" s="633" t="s">
        <v>222</v>
      </c>
      <c r="AL343" s="633" t="s">
        <v>223</v>
      </c>
      <c r="AM343" s="385" t="s">
        <v>224</v>
      </c>
    </row>
    <row r="344" spans="1:39" ht="16.5" thickBot="1">
      <c r="A344" s="1391">
        <v>24</v>
      </c>
      <c r="B344" s="1374" t="s">
        <v>549</v>
      </c>
      <c r="C344" s="1373" t="s">
        <v>3</v>
      </c>
      <c r="D344" s="1398">
        <v>30.72</v>
      </c>
      <c r="E344" s="1254"/>
      <c r="F344" s="1364">
        <f t="shared" si="32"/>
        <v>0</v>
      </c>
      <c r="G344" s="171"/>
      <c r="S344" s="57"/>
      <c r="T344" s="57"/>
      <c r="U344" s="97" t="s">
        <v>268</v>
      </c>
      <c r="V344" s="97"/>
      <c r="W344" s="61">
        <v>2</v>
      </c>
      <c r="X344" s="61">
        <v>2.5</v>
      </c>
      <c r="Y344" s="61">
        <v>0.2</v>
      </c>
      <c r="Z344" s="61">
        <v>0.25</v>
      </c>
      <c r="AA344" s="158">
        <f t="shared" si="33"/>
        <v>0.25</v>
      </c>
      <c r="AB344" s="57"/>
      <c r="AC344" s="57"/>
      <c r="AD344" s="57"/>
      <c r="AE344" s="625" t="s">
        <v>225</v>
      </c>
      <c r="AF344" s="385" t="s">
        <v>226</v>
      </c>
      <c r="AG344" s="94">
        <v>1</v>
      </c>
      <c r="AH344" s="110">
        <f>ROUND((1/0.15),0)</f>
        <v>7</v>
      </c>
      <c r="AI344" s="110"/>
      <c r="AJ344" s="110">
        <v>2</v>
      </c>
      <c r="AK344" s="110">
        <v>1</v>
      </c>
      <c r="AL344" s="110">
        <f>+PRODUCT(AG344:AK344)</f>
        <v>14</v>
      </c>
      <c r="AM344" s="68" t="s">
        <v>227</v>
      </c>
    </row>
    <row r="345" spans="1:39" ht="13.5" customHeight="1" thickBot="1">
      <c r="A345" s="1391">
        <v>25</v>
      </c>
      <c r="B345" s="1368" t="s">
        <v>191</v>
      </c>
      <c r="C345" s="1361" t="s">
        <v>80</v>
      </c>
      <c r="D345" s="1376">
        <v>6</v>
      </c>
      <c r="E345" s="1363"/>
      <c r="F345" s="1364">
        <f t="shared" si="32"/>
        <v>0</v>
      </c>
      <c r="G345" s="171"/>
      <c r="I345" s="406" t="s">
        <v>6</v>
      </c>
      <c r="J345" s="407" t="s">
        <v>7</v>
      </c>
      <c r="K345" s="439" t="s">
        <v>0</v>
      </c>
      <c r="L345" s="439" t="s">
        <v>8</v>
      </c>
      <c r="M345" s="407"/>
      <c r="N345" s="839" t="s">
        <v>387</v>
      </c>
      <c r="O345" s="409"/>
      <c r="S345" s="57"/>
      <c r="T345" s="57"/>
      <c r="U345" s="97" t="s">
        <v>269</v>
      </c>
      <c r="V345" s="97"/>
      <c r="W345" s="61">
        <v>1</v>
      </c>
      <c r="X345" s="61">
        <v>0.6</v>
      </c>
      <c r="Y345" s="61">
        <v>0.2</v>
      </c>
      <c r="Z345" s="61">
        <v>0.25</v>
      </c>
      <c r="AA345" s="158">
        <f t="shared" si="33"/>
        <v>0.03</v>
      </c>
      <c r="AB345" s="57"/>
      <c r="AC345" s="57"/>
      <c r="AD345" s="57"/>
      <c r="AE345" s="626"/>
      <c r="AF345" s="385" t="s">
        <v>228</v>
      </c>
      <c r="AG345" s="110">
        <v>0.5</v>
      </c>
      <c r="AH345" s="110">
        <v>4</v>
      </c>
      <c r="AI345" s="110"/>
      <c r="AJ345" s="110">
        <v>1</v>
      </c>
      <c r="AK345" s="111">
        <v>1</v>
      </c>
      <c r="AL345" s="110">
        <f>+PRODUCT(AG345:AK345)</f>
        <v>2</v>
      </c>
      <c r="AM345" s="68" t="s">
        <v>227</v>
      </c>
    </row>
    <row r="346" spans="1:39" ht="33" customHeight="1">
      <c r="A346" s="1392" t="s">
        <v>550</v>
      </c>
      <c r="B346" s="1413" t="s">
        <v>551</v>
      </c>
      <c r="C346" s="1344" t="s">
        <v>3</v>
      </c>
      <c r="D346" s="1350">
        <f>2.2*3</f>
        <v>6.6000000000000005</v>
      </c>
      <c r="E346" s="1414"/>
      <c r="F346" s="1364">
        <f t="shared" si="32"/>
        <v>0</v>
      </c>
      <c r="G346" s="171"/>
      <c r="I346" s="410"/>
      <c r="J346" s="416" t="s">
        <v>295</v>
      </c>
      <c r="K346" s="420" t="s">
        <v>22</v>
      </c>
      <c r="L346" s="545"/>
      <c r="M346" s="585"/>
      <c r="N346" s="830"/>
      <c r="O346" s="481"/>
      <c r="S346" s="57"/>
      <c r="T346" s="57"/>
      <c r="U346" s="97" t="s">
        <v>269</v>
      </c>
      <c r="V346" s="97"/>
      <c r="W346" s="61">
        <v>2</v>
      </c>
      <c r="X346" s="61">
        <v>1.8</v>
      </c>
      <c r="Y346" s="61">
        <v>0.2</v>
      </c>
      <c r="Z346" s="61">
        <v>0.25</v>
      </c>
      <c r="AA346" s="158">
        <f t="shared" si="33"/>
        <v>0.18000000000000002</v>
      </c>
      <c r="AB346" s="57"/>
      <c r="AC346" s="57"/>
      <c r="AD346" s="57"/>
      <c r="AE346" s="627" t="s">
        <v>223</v>
      </c>
      <c r="AF346" s="631"/>
      <c r="AG346" s="631"/>
      <c r="AH346" s="631"/>
      <c r="AI346" s="631"/>
      <c r="AJ346" s="631"/>
      <c r="AK346" s="632"/>
      <c r="AL346" s="110">
        <f>SUM(AL344:AL345)</f>
        <v>16</v>
      </c>
      <c r="AM346" s="94"/>
    </row>
    <row r="347" spans="1:39" ht="28.5">
      <c r="A347" s="1391">
        <v>27</v>
      </c>
      <c r="B347" s="1375" t="s">
        <v>552</v>
      </c>
      <c r="C347" s="1373" t="s">
        <v>3</v>
      </c>
      <c r="D347" s="1376">
        <v>19</v>
      </c>
      <c r="E347" s="1363"/>
      <c r="F347" s="1364">
        <f t="shared" si="32"/>
        <v>0</v>
      </c>
      <c r="G347" s="171"/>
      <c r="I347" s="411"/>
      <c r="J347" s="417" t="s">
        <v>49</v>
      </c>
      <c r="K347" s="421" t="s">
        <v>31</v>
      </c>
      <c r="L347" s="498">
        <v>0.5</v>
      </c>
      <c r="M347" s="414"/>
      <c r="N347" s="546"/>
      <c r="O347" s="455"/>
      <c r="S347" s="57"/>
      <c r="T347" s="57"/>
      <c r="U347" s="97" t="s">
        <v>270</v>
      </c>
      <c r="V347" s="97"/>
      <c r="W347" s="61">
        <v>2</v>
      </c>
      <c r="X347" s="61">
        <v>2.5</v>
      </c>
      <c r="Y347" s="61">
        <v>0.2</v>
      </c>
      <c r="Z347" s="61">
        <v>0.25</v>
      </c>
      <c r="AA347" s="158">
        <f t="shared" si="33"/>
        <v>0.25</v>
      </c>
      <c r="AB347" s="57"/>
      <c r="AC347" s="57"/>
      <c r="AD347" s="57"/>
      <c r="AE347" s="100"/>
      <c r="AF347" s="100"/>
      <c r="AG347" s="100"/>
      <c r="AH347" s="100"/>
      <c r="AI347" s="100"/>
      <c r="AJ347" s="100"/>
      <c r="AK347" s="100"/>
      <c r="AL347" s="100"/>
      <c r="AM347" s="114"/>
    </row>
    <row r="348" spans="1:39" ht="15.75">
      <c r="A348" s="1391">
        <v>28</v>
      </c>
      <c r="B348" s="1375" t="s">
        <v>553</v>
      </c>
      <c r="C348" s="1361" t="s">
        <v>86</v>
      </c>
      <c r="D348" s="1376">
        <v>4</v>
      </c>
      <c r="E348" s="1363"/>
      <c r="F348" s="1364">
        <f t="shared" si="32"/>
        <v>0</v>
      </c>
      <c r="G348" s="171"/>
      <c r="I348" s="411"/>
      <c r="J348" s="417" t="s">
        <v>54</v>
      </c>
      <c r="K348" s="421" t="s">
        <v>11</v>
      </c>
      <c r="L348" s="498">
        <v>0.25</v>
      </c>
      <c r="M348" s="414"/>
      <c r="N348" s="546"/>
      <c r="O348" s="455"/>
      <c r="S348" s="57"/>
      <c r="T348" s="57"/>
      <c r="U348" s="97" t="s">
        <v>271</v>
      </c>
      <c r="V348" s="97"/>
      <c r="W348" s="61">
        <v>2</v>
      </c>
      <c r="X348" s="61">
        <v>3.1</v>
      </c>
      <c r="Y348" s="61">
        <v>0.2</v>
      </c>
      <c r="Z348" s="61">
        <v>0.25</v>
      </c>
      <c r="AA348" s="158">
        <f t="shared" si="33"/>
        <v>0.31000000000000005</v>
      </c>
      <c r="AB348" s="57"/>
      <c r="AC348" s="57"/>
      <c r="AD348" s="57"/>
      <c r="AE348" s="627" t="s">
        <v>229</v>
      </c>
      <c r="AF348" s="631"/>
      <c r="AG348" s="631"/>
      <c r="AH348" s="631"/>
      <c r="AI348" s="631"/>
      <c r="AJ348" s="631"/>
      <c r="AK348" s="632"/>
      <c r="AL348" s="101"/>
      <c r="AM348" s="101"/>
    </row>
    <row r="349" spans="1:39" ht="29.25" thickBot="1">
      <c r="A349" s="1400">
        <v>29</v>
      </c>
      <c r="B349" s="1378" t="s">
        <v>554</v>
      </c>
      <c r="C349" s="1379" t="s">
        <v>86</v>
      </c>
      <c r="D349" s="1380">
        <v>1</v>
      </c>
      <c r="E349" s="1401"/>
      <c r="F349" s="1382">
        <f t="shared" si="32"/>
        <v>0</v>
      </c>
      <c r="G349" s="171"/>
      <c r="I349" s="411"/>
      <c r="J349" s="417" t="s">
        <v>19</v>
      </c>
      <c r="K349" s="421" t="s">
        <v>10</v>
      </c>
      <c r="L349" s="498">
        <v>0.1</v>
      </c>
      <c r="M349" s="414"/>
      <c r="N349" s="546"/>
      <c r="O349" s="455"/>
      <c r="S349" s="57"/>
      <c r="T349" s="57"/>
      <c r="U349" s="97" t="s">
        <v>272</v>
      </c>
      <c r="V349" s="97"/>
      <c r="W349" s="61">
        <v>2</v>
      </c>
      <c r="X349" s="62">
        <v>1.8</v>
      </c>
      <c r="Y349" s="159">
        <v>0.2</v>
      </c>
      <c r="Z349" s="158">
        <v>0.17</v>
      </c>
      <c r="AA349" s="158">
        <f t="shared" si="33"/>
        <v>0.12240000000000002</v>
      </c>
      <c r="AB349" s="57"/>
      <c r="AC349" s="57"/>
      <c r="AD349" s="57"/>
      <c r="AE349" s="385"/>
      <c r="AF349" s="385"/>
      <c r="AG349" s="385"/>
      <c r="AH349" s="385"/>
      <c r="AI349" s="385"/>
      <c r="AJ349" s="385"/>
      <c r="AK349" s="385"/>
      <c r="AL349" s="101"/>
      <c r="AM349" s="101"/>
    </row>
    <row r="350" spans="1:39" ht="16.5" thickBot="1">
      <c r="A350" s="1402"/>
      <c r="B350" s="1403"/>
      <c r="C350" s="1385"/>
      <c r="D350" s="1386"/>
      <c r="E350" s="1387"/>
      <c r="F350" s="1387"/>
      <c r="G350" s="171"/>
      <c r="I350" s="411"/>
      <c r="J350" s="417" t="s">
        <v>60</v>
      </c>
      <c r="K350" s="421" t="s">
        <v>31</v>
      </c>
      <c r="L350" s="498">
        <v>0.5</v>
      </c>
      <c r="M350" s="414"/>
      <c r="N350" s="546">
        <v>1.03</v>
      </c>
      <c r="O350" s="455"/>
      <c r="S350" s="57"/>
      <c r="T350" s="57"/>
      <c r="U350" s="97" t="s">
        <v>272</v>
      </c>
      <c r="V350" s="97"/>
      <c r="W350" s="61">
        <v>1</v>
      </c>
      <c r="X350" s="62">
        <v>2.1</v>
      </c>
      <c r="Y350" s="159">
        <v>0.4</v>
      </c>
      <c r="Z350" s="158">
        <v>0.17</v>
      </c>
      <c r="AA350" s="158">
        <f t="shared" si="33"/>
        <v>0.14280000000000001</v>
      </c>
      <c r="AB350" s="57"/>
      <c r="AC350" s="57"/>
      <c r="AD350" s="57"/>
      <c r="AE350" s="624" t="s">
        <v>120</v>
      </c>
      <c r="AF350" s="637" t="s">
        <v>230</v>
      </c>
      <c r="AG350" s="637" t="s">
        <v>231</v>
      </c>
      <c r="AH350" s="637" t="s">
        <v>232</v>
      </c>
      <c r="AI350" s="637"/>
      <c r="AJ350" s="637" t="s">
        <v>221</v>
      </c>
      <c r="AK350" s="637" t="s">
        <v>233</v>
      </c>
      <c r="AL350" s="101"/>
      <c r="AM350" s="101"/>
    </row>
    <row r="351" spans="1:39" ht="16.5" thickBot="1">
      <c r="A351" s="1948" t="s">
        <v>5</v>
      </c>
      <c r="B351" s="1949"/>
      <c r="C351" s="1949"/>
      <c r="D351" s="1949"/>
      <c r="E351" s="1949"/>
      <c r="F351" s="1408">
        <f>SUM(F321:F349)</f>
        <v>0</v>
      </c>
      <c r="G351" s="171"/>
      <c r="I351" s="411"/>
      <c r="J351" s="417" t="s">
        <v>69</v>
      </c>
      <c r="K351" s="421" t="s">
        <v>66</v>
      </c>
      <c r="L351" s="498">
        <v>2</v>
      </c>
      <c r="M351" s="414"/>
      <c r="N351" s="546"/>
      <c r="O351" s="455"/>
      <c r="S351" s="57"/>
      <c r="T351" s="57"/>
      <c r="U351" s="97" t="s">
        <v>273</v>
      </c>
      <c r="V351" s="97"/>
      <c r="W351" s="61">
        <v>-1</v>
      </c>
      <c r="X351" s="160">
        <f>+(PI()*0.6*0.6)/4</f>
        <v>0.28274333882308139</v>
      </c>
      <c r="Y351" s="161"/>
      <c r="Z351" s="158">
        <v>0.17</v>
      </c>
      <c r="AA351" s="158">
        <f t="shared" si="33"/>
        <v>-4.8066367599923839E-2</v>
      </c>
      <c r="AB351" s="162"/>
      <c r="AC351" s="57"/>
      <c r="AD351" s="57"/>
      <c r="AE351" s="97" t="s">
        <v>234</v>
      </c>
      <c r="AF351" s="110">
        <v>1</v>
      </c>
      <c r="AG351" s="110">
        <v>0.12</v>
      </c>
      <c r="AH351" s="110">
        <v>1</v>
      </c>
      <c r="AI351" s="110"/>
      <c r="AJ351" s="110">
        <v>2</v>
      </c>
      <c r="AK351" s="115">
        <f>+AJ351*AH351*AG351*AF351</f>
        <v>0.24</v>
      </c>
      <c r="AL351" s="101"/>
      <c r="AM351" s="101"/>
    </row>
    <row r="352" spans="1:39" ht="27.75" customHeight="1">
      <c r="A352" s="1228"/>
      <c r="B352" s="1228"/>
      <c r="C352" s="1228"/>
      <c r="D352" s="1228"/>
      <c r="E352" s="1228"/>
      <c r="F352" s="1234"/>
      <c r="G352" s="171"/>
      <c r="I352" s="411"/>
      <c r="J352" s="417" t="s">
        <v>51</v>
      </c>
      <c r="K352" s="421" t="s">
        <v>23</v>
      </c>
      <c r="L352" s="498">
        <v>1.5</v>
      </c>
      <c r="M352" s="414"/>
      <c r="N352" s="546"/>
      <c r="O352" s="455"/>
      <c r="S352" s="57"/>
      <c r="T352" s="57"/>
      <c r="U352" s="377" t="s">
        <v>223</v>
      </c>
      <c r="V352" s="378"/>
      <c r="W352" s="378"/>
      <c r="X352" s="378"/>
      <c r="Y352" s="378"/>
      <c r="Z352" s="379"/>
      <c r="AA352" s="163">
        <f>SUM(AA339:AA351)</f>
        <v>8.3811336324000774</v>
      </c>
      <c r="AB352" s="164">
        <f>SUM(AA344:AA351)</f>
        <v>1.2371336324000763</v>
      </c>
      <c r="AC352" s="57"/>
      <c r="AD352" s="57"/>
      <c r="AE352" s="97" t="s">
        <v>234</v>
      </c>
      <c r="AF352" s="110">
        <v>1</v>
      </c>
      <c r="AG352" s="110">
        <v>0.12</v>
      </c>
      <c r="AH352" s="864">
        <v>0.18</v>
      </c>
      <c r="AI352" s="110"/>
      <c r="AJ352" s="110">
        <v>2</v>
      </c>
      <c r="AK352" s="115">
        <f>+AJ352*AH352*AG352*AF352</f>
        <v>4.3199999999999995E-2</v>
      </c>
      <c r="AL352" s="101"/>
      <c r="AM352" s="101"/>
    </row>
    <row r="353" spans="1:40" ht="25.5" customHeight="1" thickBot="1">
      <c r="A353" s="1178"/>
      <c r="B353" s="1178"/>
      <c r="C353" s="1178"/>
      <c r="D353" s="1178"/>
      <c r="E353" s="1178"/>
      <c r="F353" s="1195"/>
      <c r="G353" s="171"/>
      <c r="I353" s="411"/>
      <c r="J353" s="417" t="s">
        <v>24</v>
      </c>
      <c r="K353" s="421" t="s">
        <v>12</v>
      </c>
      <c r="L353" s="498">
        <v>1</v>
      </c>
      <c r="M353" s="414"/>
      <c r="N353" s="841">
        <v>0.05</v>
      </c>
      <c r="O353" s="455"/>
      <c r="S353" s="57"/>
      <c r="T353" s="57"/>
      <c r="U353" s="50"/>
      <c r="V353" s="50"/>
      <c r="W353" s="50"/>
      <c r="X353" s="50"/>
      <c r="Y353" s="50"/>
      <c r="Z353" s="50"/>
      <c r="AA353" s="50"/>
      <c r="AB353" s="57"/>
      <c r="AC353" s="57"/>
      <c r="AD353" s="57"/>
      <c r="AE353" s="97"/>
      <c r="AF353" s="110"/>
      <c r="AG353" s="110"/>
      <c r="AH353" s="110"/>
      <c r="AI353" s="110"/>
      <c r="AJ353" s="110"/>
      <c r="AK353" s="115"/>
      <c r="AL353" s="101"/>
      <c r="AM353" s="101"/>
    </row>
    <row r="354" spans="1:40" ht="16.5" thickBot="1">
      <c r="A354" s="818"/>
      <c r="B354" s="1811" t="s">
        <v>432</v>
      </c>
      <c r="C354" s="1812"/>
      <c r="D354" s="1812"/>
      <c r="E354" s="1812"/>
      <c r="F354" s="562" t="s">
        <v>214</v>
      </c>
      <c r="G354" s="171"/>
      <c r="I354" s="411"/>
      <c r="J354" s="417" t="s">
        <v>25</v>
      </c>
      <c r="K354" s="421" t="s">
        <v>14</v>
      </c>
      <c r="L354" s="498">
        <v>0.1</v>
      </c>
      <c r="M354" s="414"/>
      <c r="N354" s="546"/>
      <c r="O354" s="455"/>
      <c r="S354" s="57"/>
      <c r="T354" s="57"/>
      <c r="U354" s="50"/>
      <c r="V354" s="50"/>
      <c r="W354" s="50"/>
      <c r="X354" s="50"/>
      <c r="Y354" s="50"/>
      <c r="Z354" s="50"/>
      <c r="AA354" s="57"/>
      <c r="AB354" s="57"/>
      <c r="AC354" s="57"/>
      <c r="AD354" s="57"/>
      <c r="AE354" s="89" t="s">
        <v>235</v>
      </c>
      <c r="AF354" s="94">
        <v>0.08</v>
      </c>
      <c r="AG354" s="94">
        <v>1</v>
      </c>
      <c r="AH354" s="94">
        <v>1</v>
      </c>
      <c r="AI354" s="94"/>
      <c r="AJ354" s="110">
        <v>1</v>
      </c>
      <c r="AK354" s="115">
        <f>+AJ354*AH354*AG354*AF354</f>
        <v>0.08</v>
      </c>
      <c r="AL354" s="101"/>
      <c r="AM354" s="101"/>
    </row>
    <row r="355" spans="1:40" ht="15.75">
      <c r="A355" s="387" t="s">
        <v>427</v>
      </c>
      <c r="B355" s="388" t="s">
        <v>7</v>
      </c>
      <c r="C355" s="389" t="s">
        <v>0</v>
      </c>
      <c r="D355" s="656" t="s">
        <v>8</v>
      </c>
      <c r="E355" s="389" t="s">
        <v>2</v>
      </c>
      <c r="F355" s="547" t="s">
        <v>9</v>
      </c>
      <c r="G355" s="171"/>
      <c r="H355" s="57"/>
      <c r="I355" s="411"/>
      <c r="J355" s="417" t="s">
        <v>70</v>
      </c>
      <c r="K355" s="421" t="s">
        <v>12</v>
      </c>
      <c r="L355" s="498">
        <v>8</v>
      </c>
      <c r="M355" s="414"/>
      <c r="N355" s="546">
        <v>1</v>
      </c>
      <c r="O355" s="455"/>
      <c r="S355" s="1822" t="s">
        <v>274</v>
      </c>
      <c r="T355" s="1823"/>
      <c r="U355" s="1823"/>
      <c r="V355" s="1823"/>
      <c r="W355" s="1823"/>
      <c r="X355" s="1823"/>
      <c r="Y355" s="1823"/>
      <c r="Z355" s="1823"/>
      <c r="AA355" s="1823"/>
      <c r="AB355" s="1823"/>
      <c r="AC355" s="1824"/>
      <c r="AD355" s="57"/>
      <c r="AE355" s="627" t="s">
        <v>223</v>
      </c>
      <c r="AF355" s="631"/>
      <c r="AG355" s="631"/>
      <c r="AH355" s="631"/>
      <c r="AI355" s="631"/>
      <c r="AJ355" s="632"/>
      <c r="AK355" s="88">
        <f>SUM(AK351:AK354)</f>
        <v>0.36320000000000002</v>
      </c>
      <c r="AL355" s="101"/>
      <c r="AM355" s="101"/>
    </row>
    <row r="356" spans="1:40" ht="16.5" thickBot="1">
      <c r="A356" s="390"/>
      <c r="B356" s="348" t="s">
        <v>159</v>
      </c>
      <c r="C356" s="657" t="s">
        <v>80</v>
      </c>
      <c r="D356" s="894">
        <f>2*2</f>
        <v>4</v>
      </c>
      <c r="E356" s="897">
        <f>+E326</f>
        <v>0</v>
      </c>
      <c r="F356" s="898">
        <f>+ROUND(E356*D356,0)</f>
        <v>0</v>
      </c>
      <c r="G356" s="171"/>
      <c r="I356" s="415"/>
      <c r="J356" s="457" t="s">
        <v>65</v>
      </c>
      <c r="K356" s="426" t="s">
        <v>12</v>
      </c>
      <c r="L356" s="499">
        <v>8</v>
      </c>
      <c r="M356" s="460"/>
      <c r="N356" s="847">
        <v>1</v>
      </c>
      <c r="O356" s="461"/>
      <c r="S356" s="1809" t="s">
        <v>120</v>
      </c>
      <c r="T356" s="1809"/>
      <c r="U356" s="1809"/>
      <c r="V356" s="343"/>
      <c r="W356" s="381" t="s">
        <v>254</v>
      </c>
      <c r="X356" s="384" t="s">
        <v>275</v>
      </c>
      <c r="Y356" s="373" t="s">
        <v>276</v>
      </c>
      <c r="Z356" s="373" t="s">
        <v>277</v>
      </c>
      <c r="AA356" s="384" t="s">
        <v>224</v>
      </c>
      <c r="AB356" s="384" t="s">
        <v>222</v>
      </c>
      <c r="AC356" s="384" t="s">
        <v>296</v>
      </c>
      <c r="AD356" s="57"/>
      <c r="AE356" s="73"/>
      <c r="AF356" s="73"/>
    </row>
    <row r="357" spans="1:40" ht="15.75" customHeight="1" thickBot="1">
      <c r="A357" s="390"/>
      <c r="B357" s="348" t="s">
        <v>160</v>
      </c>
      <c r="C357" s="607" t="s">
        <v>3</v>
      </c>
      <c r="D357" s="894">
        <f>0.15*2</f>
        <v>0.3</v>
      </c>
      <c r="E357" s="897">
        <f>+E327</f>
        <v>0</v>
      </c>
      <c r="F357" s="898">
        <f t="shared" ref="F357:F365" si="34">+ROUND(E357*D357,0)</f>
        <v>0</v>
      </c>
      <c r="G357" s="171"/>
      <c r="I357" s="643" t="s">
        <v>5</v>
      </c>
      <c r="J357" s="644"/>
      <c r="K357" s="826"/>
      <c r="L357" s="826"/>
      <c r="M357" s="644"/>
      <c r="N357" s="846"/>
      <c r="O357" s="646"/>
      <c r="P357" s="50"/>
      <c r="S357" s="1802" t="s">
        <v>278</v>
      </c>
      <c r="T357" s="1803"/>
      <c r="U357" s="384" t="s">
        <v>279</v>
      </c>
      <c r="V357" s="384"/>
      <c r="W357" s="165">
        <f>2.4+0.6</f>
        <v>3</v>
      </c>
      <c r="X357" s="165">
        <f>ROUND((3.6/0.2),0)</f>
        <v>18</v>
      </c>
      <c r="Y357" s="165">
        <v>2</v>
      </c>
      <c r="Z357" s="165">
        <f t="shared" ref="Z357:Z374" si="35">+PRODUCT(W357:Y357)</f>
        <v>108</v>
      </c>
      <c r="AA357" s="165" t="s">
        <v>243</v>
      </c>
      <c r="AB357" s="166">
        <v>1.552</v>
      </c>
      <c r="AC357" s="167">
        <f t="shared" ref="AC357:AC374" si="36">+Z357*AB357</f>
        <v>167.61600000000001</v>
      </c>
      <c r="AD357" s="57"/>
      <c r="AE357" s="73"/>
      <c r="AF357" s="73"/>
    </row>
    <row r="358" spans="1:40" ht="16.5" thickBot="1">
      <c r="A358" s="390"/>
      <c r="B358" s="348" t="s">
        <v>150</v>
      </c>
      <c r="C358" s="398" t="s">
        <v>40</v>
      </c>
      <c r="D358" s="684">
        <f>2*0.3*0.15</f>
        <v>0.09</v>
      </c>
      <c r="E358" s="863">
        <f>+E331</f>
        <v>0</v>
      </c>
      <c r="F358" s="898">
        <f t="shared" si="34"/>
        <v>0</v>
      </c>
      <c r="G358" s="171"/>
      <c r="S358" s="1804"/>
      <c r="T358" s="1805"/>
      <c r="U358" s="384" t="s">
        <v>280</v>
      </c>
      <c r="V358" s="384"/>
      <c r="W358" s="165">
        <f>3.6-0.1</f>
        <v>3.5</v>
      </c>
      <c r="X358" s="165">
        <f>ROUND((2.4/0.2),0)</f>
        <v>12</v>
      </c>
      <c r="Y358" s="165">
        <v>2</v>
      </c>
      <c r="Z358" s="165">
        <f t="shared" si="35"/>
        <v>84</v>
      </c>
      <c r="AA358" s="165" t="s">
        <v>227</v>
      </c>
      <c r="AB358" s="166">
        <v>0.99399999999999999</v>
      </c>
      <c r="AC358" s="167">
        <f t="shared" si="36"/>
        <v>83.495999999999995</v>
      </c>
      <c r="AD358" s="57"/>
      <c r="AE358" s="628" t="s">
        <v>218</v>
      </c>
      <c r="AF358" s="629"/>
      <c r="AG358" s="629"/>
      <c r="AH358" s="629"/>
      <c r="AI358" s="629"/>
      <c r="AJ358" s="629"/>
      <c r="AK358" s="629"/>
      <c r="AL358" s="629"/>
      <c r="AM358" s="630"/>
      <c r="AN358" s="57"/>
    </row>
    <row r="359" spans="1:40" ht="16.5" thickBot="1">
      <c r="A359" s="390"/>
      <c r="B359" s="348" t="s">
        <v>135</v>
      </c>
      <c r="C359" s="398" t="s">
        <v>40</v>
      </c>
      <c r="D359" s="684">
        <f>D357*0.12</f>
        <v>3.5999999999999997E-2</v>
      </c>
      <c r="E359" s="863">
        <f>+E332</f>
        <v>0</v>
      </c>
      <c r="F359" s="898">
        <f t="shared" si="34"/>
        <v>0</v>
      </c>
      <c r="G359" s="171"/>
      <c r="I359" s="406" t="s">
        <v>6</v>
      </c>
      <c r="J359" s="407" t="s">
        <v>7</v>
      </c>
      <c r="K359" s="439" t="s">
        <v>0</v>
      </c>
      <c r="L359" s="439" t="s">
        <v>8</v>
      </c>
      <c r="M359" s="407"/>
      <c r="N359" s="839" t="s">
        <v>387</v>
      </c>
      <c r="O359" s="409"/>
      <c r="S359" s="1802" t="s">
        <v>281</v>
      </c>
      <c r="T359" s="1803"/>
      <c r="U359" s="384" t="s">
        <v>279</v>
      </c>
      <c r="V359" s="384"/>
      <c r="W359" s="165">
        <f>2.4+0.6</f>
        <v>3</v>
      </c>
      <c r="X359" s="165">
        <f>ROUND((2.5/0.2),0)</f>
        <v>13</v>
      </c>
      <c r="Y359" s="165">
        <v>2</v>
      </c>
      <c r="Z359" s="165">
        <f t="shared" si="35"/>
        <v>78</v>
      </c>
      <c r="AA359" s="165" t="s">
        <v>243</v>
      </c>
      <c r="AB359" s="166">
        <v>1.552</v>
      </c>
      <c r="AC359" s="167">
        <f t="shared" si="36"/>
        <v>121.056</v>
      </c>
      <c r="AD359" s="57"/>
      <c r="AE359" s="627" t="s">
        <v>120</v>
      </c>
      <c r="AF359" s="632"/>
      <c r="AG359" s="385" t="s">
        <v>219</v>
      </c>
      <c r="AH359" s="385" t="s">
        <v>220</v>
      </c>
      <c r="AI359" s="385"/>
      <c r="AJ359" s="633" t="s">
        <v>221</v>
      </c>
      <c r="AK359" s="633" t="s">
        <v>222</v>
      </c>
      <c r="AL359" s="633" t="s">
        <v>223</v>
      </c>
      <c r="AM359" s="385" t="s">
        <v>224</v>
      </c>
      <c r="AN359" s="57"/>
    </row>
    <row r="360" spans="1:40" ht="15.75">
      <c r="A360" s="390"/>
      <c r="B360" s="348" t="s">
        <v>83</v>
      </c>
      <c r="C360" s="398" t="s">
        <v>40</v>
      </c>
      <c r="D360" s="684">
        <f>+D359</f>
        <v>3.5999999999999997E-2</v>
      </c>
      <c r="E360" s="863"/>
      <c r="F360" s="898">
        <f t="shared" si="34"/>
        <v>0</v>
      </c>
      <c r="G360" s="171"/>
      <c r="I360" s="410"/>
      <c r="J360" s="478" t="s">
        <v>161</v>
      </c>
      <c r="K360" s="420" t="s">
        <v>40</v>
      </c>
      <c r="L360" s="545"/>
      <c r="M360" s="620"/>
      <c r="N360" s="830"/>
      <c r="O360" s="481"/>
      <c r="S360" s="1804"/>
      <c r="T360" s="1805"/>
      <c r="U360" s="384" t="s">
        <v>280</v>
      </c>
      <c r="V360" s="384"/>
      <c r="W360" s="165">
        <f>2.5-0.1</f>
        <v>2.4</v>
      </c>
      <c r="X360" s="165">
        <f>ROUND((2.4/0.2),0)</f>
        <v>12</v>
      </c>
      <c r="Y360" s="165">
        <v>2</v>
      </c>
      <c r="Z360" s="165">
        <f t="shared" si="35"/>
        <v>57.599999999999994</v>
      </c>
      <c r="AA360" s="165" t="s">
        <v>227</v>
      </c>
      <c r="AB360" s="166">
        <v>0.99399999999999999</v>
      </c>
      <c r="AC360" s="167">
        <f t="shared" si="36"/>
        <v>57.254399999999997</v>
      </c>
      <c r="AD360" s="57"/>
      <c r="AE360" s="1800" t="s">
        <v>225</v>
      </c>
      <c r="AF360" s="385" t="s">
        <v>226</v>
      </c>
      <c r="AG360" s="94">
        <v>1</v>
      </c>
      <c r="AH360" s="110">
        <f>ROUND((1/0.15),0)</f>
        <v>7</v>
      </c>
      <c r="AI360" s="110"/>
      <c r="AJ360" s="110">
        <v>2</v>
      </c>
      <c r="AK360" s="110">
        <v>1</v>
      </c>
      <c r="AL360" s="110">
        <f>+PRODUCT(AG360:AK360)</f>
        <v>14</v>
      </c>
      <c r="AM360" s="68" t="s">
        <v>227</v>
      </c>
      <c r="AN360" s="57"/>
    </row>
    <row r="361" spans="1:40" ht="32.25" customHeight="1">
      <c r="A361" s="390"/>
      <c r="B361" s="348" t="s">
        <v>177</v>
      </c>
      <c r="C361" s="396" t="s">
        <v>40</v>
      </c>
      <c r="D361" s="684">
        <f>2*0.3*0.15</f>
        <v>0.09</v>
      </c>
      <c r="E361" s="863"/>
      <c r="F361" s="898">
        <f t="shared" si="34"/>
        <v>0</v>
      </c>
      <c r="G361" s="171"/>
      <c r="I361" s="411"/>
      <c r="J361" s="418" t="s">
        <v>52</v>
      </c>
      <c r="K361" s="421" t="s">
        <v>40</v>
      </c>
      <c r="L361" s="498">
        <v>1</v>
      </c>
      <c r="M361" s="414"/>
      <c r="N361" s="546">
        <v>1.3</v>
      </c>
      <c r="O361" s="455"/>
      <c r="S361" s="1802" t="s">
        <v>282</v>
      </c>
      <c r="T361" s="1803"/>
      <c r="U361" s="384" t="s">
        <v>279</v>
      </c>
      <c r="V361" s="382"/>
      <c r="W361" s="168">
        <v>2.5</v>
      </c>
      <c r="X361" s="168">
        <v>2</v>
      </c>
      <c r="Y361" s="168">
        <v>2</v>
      </c>
      <c r="Z361" s="165">
        <f t="shared" si="35"/>
        <v>10</v>
      </c>
      <c r="AA361" s="165" t="s">
        <v>243</v>
      </c>
      <c r="AB361" s="166">
        <v>1.552</v>
      </c>
      <c r="AC361" s="167">
        <f t="shared" si="36"/>
        <v>15.52</v>
      </c>
      <c r="AE361" s="1801"/>
      <c r="AF361" s="385" t="s">
        <v>228</v>
      </c>
      <c r="AG361" s="110">
        <v>0.5</v>
      </c>
      <c r="AH361" s="110">
        <v>4</v>
      </c>
      <c r="AI361" s="110"/>
      <c r="AJ361" s="110">
        <v>1</v>
      </c>
      <c r="AK361" s="111">
        <v>1</v>
      </c>
      <c r="AL361" s="110">
        <f>+PRODUCT(AG361:AK361)</f>
        <v>2</v>
      </c>
      <c r="AM361" s="68" t="s">
        <v>227</v>
      </c>
      <c r="AN361" s="57"/>
    </row>
    <row r="362" spans="1:40" ht="15.75">
      <c r="A362" s="390"/>
      <c r="B362" s="348" t="s">
        <v>161</v>
      </c>
      <c r="C362" s="398" t="s">
        <v>40</v>
      </c>
      <c r="D362" s="684">
        <f>+D357*0.1</f>
        <v>0.03</v>
      </c>
      <c r="E362" s="863"/>
      <c r="F362" s="898">
        <f t="shared" si="34"/>
        <v>0</v>
      </c>
      <c r="G362" s="171"/>
      <c r="I362" s="411"/>
      <c r="J362" s="418" t="s">
        <v>30</v>
      </c>
      <c r="K362" s="421" t="s">
        <v>12</v>
      </c>
      <c r="L362" s="498">
        <v>1</v>
      </c>
      <c r="M362" s="414"/>
      <c r="N362" s="841">
        <v>3.3000000000000002E-2</v>
      </c>
      <c r="O362" s="455"/>
      <c r="R362" s="57"/>
      <c r="S362" s="1804"/>
      <c r="T362" s="1805"/>
      <c r="U362" s="384" t="s">
        <v>280</v>
      </c>
      <c r="V362" s="384"/>
      <c r="W362" s="167">
        <v>3.6</v>
      </c>
      <c r="X362" s="165">
        <v>2</v>
      </c>
      <c r="Y362" s="168">
        <v>2</v>
      </c>
      <c r="Z362" s="165">
        <f t="shared" si="35"/>
        <v>14.4</v>
      </c>
      <c r="AA362" s="165" t="s">
        <v>243</v>
      </c>
      <c r="AB362" s="166">
        <v>1.552</v>
      </c>
      <c r="AC362" s="167">
        <f t="shared" si="36"/>
        <v>22.348800000000001</v>
      </c>
      <c r="AE362" s="116"/>
      <c r="AF362" s="634" t="s">
        <v>236</v>
      </c>
      <c r="AG362" s="635"/>
      <c r="AH362" s="635"/>
      <c r="AI362" s="635"/>
      <c r="AJ362" s="635"/>
      <c r="AK362" s="636"/>
      <c r="AL362" s="115">
        <f>-(AN363*AL360)/AN362</f>
        <v>-10.99</v>
      </c>
      <c r="AM362" s="79"/>
      <c r="AN362" s="57">
        <v>1</v>
      </c>
    </row>
    <row r="363" spans="1:40" ht="23.25" customHeight="1">
      <c r="A363" s="390"/>
      <c r="B363" s="348" t="s">
        <v>414</v>
      </c>
      <c r="C363" s="398" t="s">
        <v>22</v>
      </c>
      <c r="D363" s="684">
        <f>2*0.15</f>
        <v>0.3</v>
      </c>
      <c r="E363" s="863"/>
      <c r="F363" s="898">
        <f t="shared" si="34"/>
        <v>0</v>
      </c>
      <c r="G363" s="171"/>
      <c r="I363" s="411"/>
      <c r="J363" s="418" t="s">
        <v>15</v>
      </c>
      <c r="K363" s="421" t="s">
        <v>14</v>
      </c>
      <c r="L363" s="498">
        <v>0.1</v>
      </c>
      <c r="M363" s="765"/>
      <c r="N363" s="546"/>
      <c r="O363" s="455"/>
      <c r="S363" s="1802" t="s">
        <v>283</v>
      </c>
      <c r="T363" s="1803"/>
      <c r="U363" s="384" t="s">
        <v>279</v>
      </c>
      <c r="V363" s="384"/>
      <c r="W363" s="165">
        <f>2.5-0.1</f>
        <v>2.4</v>
      </c>
      <c r="X363" s="165">
        <f>ROUND(((2.5-1.2)/0.2),0)</f>
        <v>7</v>
      </c>
      <c r="Y363" s="168">
        <v>1</v>
      </c>
      <c r="Z363" s="165">
        <f t="shared" si="35"/>
        <v>16.8</v>
      </c>
      <c r="AA363" s="165" t="s">
        <v>227</v>
      </c>
      <c r="AB363" s="166">
        <v>0.99399999999999999</v>
      </c>
      <c r="AC363" s="167">
        <f t="shared" si="36"/>
        <v>16.699200000000001</v>
      </c>
      <c r="AE363" s="627" t="s">
        <v>223</v>
      </c>
      <c r="AF363" s="631"/>
      <c r="AG363" s="631"/>
      <c r="AH363" s="631"/>
      <c r="AI363" s="631"/>
      <c r="AJ363" s="631"/>
      <c r="AK363" s="632"/>
      <c r="AL363" s="110">
        <f>SUM(AL360:AL362)</f>
        <v>5.01</v>
      </c>
      <c r="AM363" s="94"/>
      <c r="AN363" s="57">
        <f>0.25*3.14</f>
        <v>0.78500000000000003</v>
      </c>
    </row>
    <row r="364" spans="1:40" ht="15.75">
      <c r="A364" s="390"/>
      <c r="B364" s="348" t="s">
        <v>193</v>
      </c>
      <c r="C364" s="398" t="s">
        <v>31</v>
      </c>
      <c r="D364" s="684">
        <v>2</v>
      </c>
      <c r="E364" s="863"/>
      <c r="F364" s="898">
        <f t="shared" si="34"/>
        <v>0</v>
      </c>
      <c r="G364" s="171"/>
      <c r="I364" s="411"/>
      <c r="J364" s="418" t="s">
        <v>25</v>
      </c>
      <c r="K364" s="421" t="s">
        <v>14</v>
      </c>
      <c r="L364" s="498">
        <v>0.1</v>
      </c>
      <c r="M364" s="765"/>
      <c r="N364" s="546"/>
      <c r="O364" s="455"/>
      <c r="R364" s="57"/>
      <c r="S364" s="1804"/>
      <c r="T364" s="1805"/>
      <c r="U364" s="384" t="s">
        <v>280</v>
      </c>
      <c r="V364" s="384"/>
      <c r="W364" s="165">
        <f>3.6-0.1</f>
        <v>3.5</v>
      </c>
      <c r="X364" s="165">
        <f>ROUND(((3.6-1.2)/0.2),0)</f>
        <v>12</v>
      </c>
      <c r="Y364" s="165">
        <v>1</v>
      </c>
      <c r="Z364" s="165">
        <f t="shared" si="35"/>
        <v>42</v>
      </c>
      <c r="AA364" s="165" t="s">
        <v>227</v>
      </c>
      <c r="AB364" s="166">
        <v>0.99399999999999999</v>
      </c>
      <c r="AC364" s="167">
        <f t="shared" si="36"/>
        <v>41.747999999999998</v>
      </c>
      <c r="AE364" s="113"/>
      <c r="AF364" s="100"/>
      <c r="AG364" s="100"/>
      <c r="AH364" s="100"/>
      <c r="AI364" s="100"/>
      <c r="AJ364" s="100"/>
      <c r="AK364" s="100"/>
    </row>
    <row r="365" spans="1:40" ht="16.5" thickBot="1">
      <c r="A365" s="396"/>
      <c r="B365" s="1415" t="s">
        <v>140</v>
      </c>
      <c r="C365" s="396" t="s">
        <v>43</v>
      </c>
      <c r="D365" s="397">
        <v>1</v>
      </c>
      <c r="E365" s="897"/>
      <c r="F365" s="898">
        <f t="shared" si="34"/>
        <v>0</v>
      </c>
      <c r="G365" s="171"/>
      <c r="I365" s="415"/>
      <c r="J365" s="457" t="s">
        <v>68</v>
      </c>
      <c r="K365" s="433" t="s">
        <v>12</v>
      </c>
      <c r="L365" s="499">
        <v>1</v>
      </c>
      <c r="M365" s="460"/>
      <c r="N365" s="842">
        <f>1/10</f>
        <v>0.1</v>
      </c>
      <c r="O365" s="461"/>
      <c r="R365" s="57"/>
      <c r="S365" s="1820" t="s">
        <v>284</v>
      </c>
      <c r="T365" s="1840" t="s">
        <v>285</v>
      </c>
      <c r="U365" s="169" t="s">
        <v>286</v>
      </c>
      <c r="V365" s="169"/>
      <c r="W365" s="165">
        <f>(3.6-0.1)*2+(2.5-0.1)*2</f>
        <v>11.8</v>
      </c>
      <c r="X365" s="167">
        <v>4</v>
      </c>
      <c r="Y365" s="167">
        <v>1</v>
      </c>
      <c r="Z365" s="165">
        <f t="shared" si="35"/>
        <v>47.2</v>
      </c>
      <c r="AA365" s="165" t="s">
        <v>227</v>
      </c>
      <c r="AB365" s="166">
        <v>0.99399999999999999</v>
      </c>
      <c r="AC365" s="167">
        <f t="shared" si="36"/>
        <v>46.916800000000002</v>
      </c>
      <c r="AE365" s="100"/>
      <c r="AF365" s="100"/>
      <c r="AG365" s="100"/>
      <c r="AH365" s="100"/>
      <c r="AI365" s="100"/>
      <c r="AJ365" s="100"/>
      <c r="AK365" s="100"/>
    </row>
    <row r="366" spans="1:40" ht="21" customHeight="1" thickBot="1">
      <c r="A366" s="809"/>
      <c r="B366" s="810"/>
      <c r="C366" s="809"/>
      <c r="D366" s="888"/>
      <c r="E366" s="809"/>
      <c r="F366" s="811"/>
      <c r="G366" s="171"/>
      <c r="I366" s="643" t="s">
        <v>5</v>
      </c>
      <c r="J366" s="644"/>
      <c r="K366" s="826"/>
      <c r="L366" s="826"/>
      <c r="M366" s="644"/>
      <c r="N366" s="846"/>
      <c r="O366" s="646"/>
      <c r="R366" s="57"/>
      <c r="S366" s="1836"/>
      <c r="T366" s="1841"/>
      <c r="U366" s="169" t="s">
        <v>287</v>
      </c>
      <c r="V366" s="169"/>
      <c r="W366" s="165">
        <f>+(0.12+0.17+0.1)*2</f>
        <v>0.78</v>
      </c>
      <c r="X366" s="167">
        <f>+ROUNDUP((W365/3)*2*2,0)/0.12</f>
        <v>133.33333333333334</v>
      </c>
      <c r="Y366" s="167">
        <v>1</v>
      </c>
      <c r="Z366" s="165">
        <f t="shared" si="35"/>
        <v>104.00000000000001</v>
      </c>
      <c r="AA366" s="165" t="s">
        <v>240</v>
      </c>
      <c r="AB366" s="166">
        <v>0.56000000000000005</v>
      </c>
      <c r="AC366" s="167">
        <f t="shared" si="36"/>
        <v>58.240000000000016</v>
      </c>
      <c r="AE366" s="1229" t="s">
        <v>229</v>
      </c>
      <c r="AF366" s="1230"/>
      <c r="AG366" s="1230"/>
      <c r="AH366" s="1230"/>
      <c r="AI366" s="1230"/>
      <c r="AJ366" s="1230"/>
      <c r="AK366" s="1231"/>
    </row>
    <row r="367" spans="1:40" ht="16.5" thickBot="1">
      <c r="A367" s="1270" t="s">
        <v>5</v>
      </c>
      <c r="B367" s="1271"/>
      <c r="C367" s="1271"/>
      <c r="D367" s="1271"/>
      <c r="E367" s="1272"/>
      <c r="F367" s="911">
        <f>ROUND(SUM(F356:F365),0)</f>
        <v>0</v>
      </c>
      <c r="G367" s="171"/>
      <c r="R367" s="57"/>
      <c r="S367" s="1836"/>
      <c r="T367" s="1842"/>
      <c r="U367" s="169" t="s">
        <v>288</v>
      </c>
      <c r="V367" s="169"/>
      <c r="W367" s="165">
        <f>+(0.12+0.17+0.1)*2</f>
        <v>0.78</v>
      </c>
      <c r="X367" s="167">
        <f>+ROUNDUP((W365/3),0)/0.1</f>
        <v>40</v>
      </c>
      <c r="Y367" s="167">
        <v>1</v>
      </c>
      <c r="Z367" s="165">
        <f t="shared" si="35"/>
        <v>31.200000000000003</v>
      </c>
      <c r="AA367" s="165" t="s">
        <v>240</v>
      </c>
      <c r="AB367" s="166">
        <v>0.56000000000000005</v>
      </c>
      <c r="AC367" s="167">
        <f t="shared" si="36"/>
        <v>17.472000000000005</v>
      </c>
      <c r="AE367" s="385"/>
      <c r="AF367" s="385"/>
      <c r="AG367" s="385"/>
      <c r="AH367" s="385"/>
      <c r="AI367" s="385"/>
      <c r="AJ367" s="385"/>
      <c r="AK367" s="385"/>
    </row>
    <row r="368" spans="1:40" ht="16.5" thickBot="1">
      <c r="A368" s="1227"/>
      <c r="B368" s="1227"/>
      <c r="C368" s="1227"/>
      <c r="D368" s="1227"/>
      <c r="E368" s="1227"/>
      <c r="F368" s="916"/>
      <c r="G368" s="171"/>
      <c r="I368" s="406" t="s">
        <v>6</v>
      </c>
      <c r="J368" s="407" t="s">
        <v>7</v>
      </c>
      <c r="K368" s="439" t="s">
        <v>0</v>
      </c>
      <c r="L368" s="439" t="s">
        <v>8</v>
      </c>
      <c r="M368" s="407"/>
      <c r="N368" s="839" t="s">
        <v>387</v>
      </c>
      <c r="O368" s="409"/>
      <c r="R368" s="57"/>
      <c r="S368" s="1836"/>
      <c r="T368" s="1840" t="s">
        <v>289</v>
      </c>
      <c r="U368" s="169" t="s">
        <v>286</v>
      </c>
      <c r="V368" s="169"/>
      <c r="W368" s="165">
        <f>(2.1-0.1)*2+(1.8-0.1)*2</f>
        <v>7.4</v>
      </c>
      <c r="X368" s="167">
        <v>4</v>
      </c>
      <c r="Y368" s="167">
        <v>1</v>
      </c>
      <c r="Z368" s="165">
        <f t="shared" si="35"/>
        <v>29.6</v>
      </c>
      <c r="AA368" s="165" t="s">
        <v>243</v>
      </c>
      <c r="AB368" s="166">
        <v>1.552</v>
      </c>
      <c r="AC368" s="167">
        <f t="shared" si="36"/>
        <v>45.939200000000007</v>
      </c>
      <c r="AE368" s="1232" t="s">
        <v>120</v>
      </c>
      <c r="AF368" s="1232" t="s">
        <v>230</v>
      </c>
      <c r="AG368" s="1232" t="s">
        <v>231</v>
      </c>
      <c r="AH368" s="1232" t="s">
        <v>232</v>
      </c>
      <c r="AI368" s="1232"/>
      <c r="AJ368" s="1232" t="s">
        <v>221</v>
      </c>
      <c r="AK368" s="1232" t="s">
        <v>233</v>
      </c>
    </row>
    <row r="369" spans="1:37" ht="15.75" customHeight="1" thickBot="1">
      <c r="A369" s="818"/>
      <c r="B369" s="1816" t="s">
        <v>559</v>
      </c>
      <c r="C369" s="1817"/>
      <c r="D369" s="1817"/>
      <c r="E369" s="1817"/>
      <c r="F369" s="562" t="s">
        <v>214</v>
      </c>
      <c r="G369" s="171"/>
      <c r="I369" s="410"/>
      <c r="J369" s="478" t="s">
        <v>171</v>
      </c>
      <c r="K369" s="420" t="s">
        <v>22</v>
      </c>
      <c r="L369" s="545"/>
      <c r="M369" s="585"/>
      <c r="N369" s="830"/>
      <c r="O369" s="766"/>
      <c r="R369" s="57"/>
      <c r="S369" s="1836"/>
      <c r="T369" s="1841"/>
      <c r="U369" s="169" t="s">
        <v>287</v>
      </c>
      <c r="V369" s="169"/>
      <c r="W369" s="165">
        <f>+(0.12+0.17+0.1)*2</f>
        <v>0.78</v>
      </c>
      <c r="X369" s="167">
        <f>+ROUNDUP((W368/3)*2*1,0)/0.12</f>
        <v>41.666666666666671</v>
      </c>
      <c r="Y369" s="167">
        <v>1</v>
      </c>
      <c r="Z369" s="165">
        <f t="shared" si="35"/>
        <v>32.500000000000007</v>
      </c>
      <c r="AA369" s="165" t="s">
        <v>240</v>
      </c>
      <c r="AB369" s="166">
        <v>0.56000000000000005</v>
      </c>
      <c r="AC369" s="167">
        <f t="shared" si="36"/>
        <v>18.200000000000006</v>
      </c>
      <c r="AE369" s="97" t="s">
        <v>234</v>
      </c>
      <c r="AF369" s="110">
        <v>1</v>
      </c>
      <c r="AG369" s="110">
        <v>0.1</v>
      </c>
      <c r="AH369" s="110">
        <v>1</v>
      </c>
      <c r="AI369" s="110"/>
      <c r="AJ369" s="110">
        <v>2</v>
      </c>
      <c r="AK369" s="115">
        <f>+AJ369*AH369*AG369*AF369</f>
        <v>0.2</v>
      </c>
    </row>
    <row r="370" spans="1:37" ht="15.75">
      <c r="A370" s="387" t="s">
        <v>428</v>
      </c>
      <c r="B370" s="388" t="s">
        <v>7</v>
      </c>
      <c r="C370" s="389" t="s">
        <v>0</v>
      </c>
      <c r="D370" s="656" t="s">
        <v>8</v>
      </c>
      <c r="E370" s="389" t="s">
        <v>2</v>
      </c>
      <c r="F370" s="547" t="s">
        <v>9</v>
      </c>
      <c r="G370" s="171"/>
      <c r="I370" s="411"/>
      <c r="J370" s="418" t="s">
        <v>36</v>
      </c>
      <c r="K370" s="421" t="s">
        <v>12</v>
      </c>
      <c r="L370" s="498">
        <v>1</v>
      </c>
      <c r="M370" s="414"/>
      <c r="N370" s="546">
        <v>2.5000000000000001E-2</v>
      </c>
      <c r="O370" s="455"/>
      <c r="R370" s="57"/>
      <c r="S370" s="1821"/>
      <c r="T370" s="1842"/>
      <c r="U370" s="169" t="s">
        <v>288</v>
      </c>
      <c r="V370" s="169"/>
      <c r="W370" s="165">
        <f>+(0.12+0.17+0.1)*2</f>
        <v>0.78</v>
      </c>
      <c r="X370" s="167">
        <f>+ROUNDUP((W368/3)*1,0)/0.1</f>
        <v>30</v>
      </c>
      <c r="Y370" s="167">
        <v>1</v>
      </c>
      <c r="Z370" s="165">
        <f t="shared" si="35"/>
        <v>23.400000000000002</v>
      </c>
      <c r="AA370" s="165" t="s">
        <v>240</v>
      </c>
      <c r="AB370" s="166">
        <v>0.56000000000000005</v>
      </c>
      <c r="AC370" s="167">
        <f t="shared" si="36"/>
        <v>13.104000000000003</v>
      </c>
      <c r="AE370" s="97" t="s">
        <v>234</v>
      </c>
      <c r="AF370" s="110">
        <v>1</v>
      </c>
      <c r="AG370" s="110">
        <v>0.1</v>
      </c>
      <c r="AH370" s="890">
        <v>0.8</v>
      </c>
      <c r="AI370" s="110"/>
      <c r="AJ370" s="110">
        <v>2</v>
      </c>
      <c r="AK370" s="115">
        <f>+AJ370*AH370*AG370*AF370</f>
        <v>0.16000000000000003</v>
      </c>
    </row>
    <row r="371" spans="1:37" ht="15.75">
      <c r="A371" s="390"/>
      <c r="B371" s="348" t="s">
        <v>159</v>
      </c>
      <c r="C371" s="657" t="s">
        <v>80</v>
      </c>
      <c r="D371" s="894">
        <v>5</v>
      </c>
      <c r="E371" s="897">
        <f>+E356</f>
        <v>0</v>
      </c>
      <c r="F371" s="898">
        <f>+ROUND(E371*D371,0)</f>
        <v>0</v>
      </c>
      <c r="G371" s="171"/>
      <c r="I371" s="411"/>
      <c r="J371" s="418" t="s">
        <v>15</v>
      </c>
      <c r="K371" s="421" t="s">
        <v>14</v>
      </c>
      <c r="L371" s="498">
        <v>0.1</v>
      </c>
      <c r="M371" s="414"/>
      <c r="N371" s="546"/>
      <c r="O371" s="455"/>
      <c r="R371" s="57"/>
      <c r="S371" s="1820" t="s">
        <v>290</v>
      </c>
      <c r="T371" s="1820" t="s">
        <v>291</v>
      </c>
      <c r="U371" s="169" t="s">
        <v>254</v>
      </c>
      <c r="V371" s="169"/>
      <c r="W371" s="165">
        <v>1.8</v>
      </c>
      <c r="X371" s="167">
        <f>0.2/0.2</f>
        <v>1</v>
      </c>
      <c r="Y371" s="167">
        <v>2</v>
      </c>
      <c r="Z371" s="165">
        <f t="shared" si="35"/>
        <v>3.6</v>
      </c>
      <c r="AA371" s="165" t="s">
        <v>240</v>
      </c>
      <c r="AB371" s="166">
        <v>0.56000000000000005</v>
      </c>
      <c r="AC371" s="167">
        <f t="shared" si="36"/>
        <v>2.0160000000000005</v>
      </c>
      <c r="AE371" s="89" t="s">
        <v>235</v>
      </c>
      <c r="AF371" s="94">
        <v>0.08</v>
      </c>
      <c r="AG371" s="94">
        <v>1</v>
      </c>
      <c r="AH371" s="891">
        <v>1</v>
      </c>
      <c r="AI371" s="94"/>
      <c r="AJ371" s="110">
        <v>1</v>
      </c>
      <c r="AK371" s="115">
        <f>+AJ371*AH371*AG371*AF371</f>
        <v>0.08</v>
      </c>
    </row>
    <row r="372" spans="1:37" ht="16.5" thickBot="1">
      <c r="A372" s="390"/>
      <c r="B372" s="348" t="s">
        <v>160</v>
      </c>
      <c r="C372" s="607" t="s">
        <v>3</v>
      </c>
      <c r="D372" s="894">
        <f>0.15*5</f>
        <v>0.75</v>
      </c>
      <c r="E372" s="897">
        <f>+E357</f>
        <v>0</v>
      </c>
      <c r="F372" s="898">
        <f t="shared" ref="F372:F380" si="37">+ROUND(E372*D372,0)</f>
        <v>0</v>
      </c>
      <c r="G372" s="171"/>
      <c r="I372" s="415"/>
      <c r="J372" s="419" t="s">
        <v>25</v>
      </c>
      <c r="K372" s="426" t="s">
        <v>14</v>
      </c>
      <c r="L372" s="499">
        <v>0.1</v>
      </c>
      <c r="M372" s="460"/>
      <c r="N372" s="842"/>
      <c r="O372" s="461"/>
      <c r="R372" s="57"/>
      <c r="S372" s="1836"/>
      <c r="T372" s="1821"/>
      <c r="U372" s="169" t="s">
        <v>292</v>
      </c>
      <c r="V372" s="169"/>
      <c r="W372" s="165">
        <v>0.2</v>
      </c>
      <c r="X372" s="167">
        <f>1.8/0.2</f>
        <v>9</v>
      </c>
      <c r="Y372" s="167">
        <v>2</v>
      </c>
      <c r="Z372" s="165">
        <f t="shared" si="35"/>
        <v>3.6</v>
      </c>
      <c r="AA372" s="165" t="s">
        <v>240</v>
      </c>
      <c r="AB372" s="166">
        <v>0.56000000000000005</v>
      </c>
      <c r="AC372" s="167">
        <f t="shared" si="36"/>
        <v>2.0160000000000005</v>
      </c>
      <c r="AE372" s="97" t="s">
        <v>237</v>
      </c>
      <c r="AF372" s="68">
        <v>0.08</v>
      </c>
      <c r="AG372" s="68"/>
      <c r="AH372" s="68"/>
      <c r="AI372" s="68"/>
      <c r="AJ372" s="115"/>
      <c r="AK372" s="115">
        <f>-(PI()*0.25*0.25)*AF372</f>
        <v>-1.5707963267948967E-2</v>
      </c>
    </row>
    <row r="373" spans="1:37" ht="16.5" thickBot="1">
      <c r="A373" s="390"/>
      <c r="B373" s="348" t="s">
        <v>150</v>
      </c>
      <c r="C373" s="398" t="s">
        <v>40</v>
      </c>
      <c r="D373" s="684">
        <f>5*0.3*0.15</f>
        <v>0.22499999999999998</v>
      </c>
      <c r="E373" s="863">
        <f>+E358</f>
        <v>0</v>
      </c>
      <c r="F373" s="898">
        <f t="shared" si="37"/>
        <v>0</v>
      </c>
      <c r="G373" s="171"/>
      <c r="I373" s="643" t="s">
        <v>5</v>
      </c>
      <c r="J373" s="644"/>
      <c r="K373" s="826"/>
      <c r="L373" s="826"/>
      <c r="M373" s="644"/>
      <c r="N373" s="846"/>
      <c r="O373" s="646"/>
      <c r="R373" s="57"/>
      <c r="S373" s="1836"/>
      <c r="T373" s="1820" t="s">
        <v>293</v>
      </c>
      <c r="U373" s="169" t="s">
        <v>254</v>
      </c>
      <c r="V373" s="169"/>
      <c r="W373" s="165">
        <v>1.8</v>
      </c>
      <c r="X373" s="167">
        <f>0.2/0.15</f>
        <v>1.3333333333333335</v>
      </c>
      <c r="Y373" s="167">
        <v>2</v>
      </c>
      <c r="Z373" s="165">
        <f t="shared" si="35"/>
        <v>4.8000000000000007</v>
      </c>
      <c r="AA373" s="165" t="s">
        <v>227</v>
      </c>
      <c r="AB373" s="166">
        <v>0.99399999999999999</v>
      </c>
      <c r="AC373" s="167">
        <f t="shared" si="36"/>
        <v>4.7712000000000003</v>
      </c>
      <c r="AE373" s="627" t="s">
        <v>223</v>
      </c>
      <c r="AF373" s="631"/>
      <c r="AG373" s="631"/>
      <c r="AH373" s="631"/>
      <c r="AI373" s="631"/>
      <c r="AJ373" s="632"/>
      <c r="AK373" s="88">
        <f>SUM(AK369:AK372)</f>
        <v>0.42429203673205107</v>
      </c>
    </row>
    <row r="374" spans="1:37" ht="15.75">
      <c r="A374" s="390"/>
      <c r="B374" s="348" t="s">
        <v>135</v>
      </c>
      <c r="C374" s="398" t="s">
        <v>40</v>
      </c>
      <c r="D374" s="684">
        <f>D372*0.12+(5*0.1*0.15)</f>
        <v>0.16499999999999998</v>
      </c>
      <c r="E374" s="863">
        <f>+E359</f>
        <v>0</v>
      </c>
      <c r="F374" s="898">
        <f t="shared" si="37"/>
        <v>0</v>
      </c>
      <c r="G374" s="171"/>
      <c r="R374" s="57"/>
      <c r="S374" s="1821"/>
      <c r="T374" s="1821"/>
      <c r="U374" s="169" t="s">
        <v>292</v>
      </c>
      <c r="V374" s="169"/>
      <c r="W374" s="165">
        <v>0.2</v>
      </c>
      <c r="X374" s="167">
        <f>1.8/0.15</f>
        <v>12</v>
      </c>
      <c r="Y374" s="167">
        <v>2</v>
      </c>
      <c r="Z374" s="165">
        <f t="shared" si="35"/>
        <v>4.8000000000000007</v>
      </c>
      <c r="AA374" s="165" t="s">
        <v>227</v>
      </c>
      <c r="AB374" s="166">
        <v>0.99399999999999999</v>
      </c>
      <c r="AC374" s="167">
        <f t="shared" si="36"/>
        <v>4.7712000000000003</v>
      </c>
    </row>
    <row r="375" spans="1:37" ht="26.25" customHeight="1" thickBot="1">
      <c r="A375" s="390"/>
      <c r="B375" s="348" t="s">
        <v>83</v>
      </c>
      <c r="C375" s="398" t="s">
        <v>40</v>
      </c>
      <c r="D375" s="684">
        <f>+D374</f>
        <v>0.16499999999999998</v>
      </c>
      <c r="E375" s="863"/>
      <c r="F375" s="898">
        <f t="shared" si="37"/>
        <v>0</v>
      </c>
      <c r="G375" s="171"/>
      <c r="R375" s="57"/>
      <c r="S375" s="1832" t="s">
        <v>223</v>
      </c>
      <c r="T375" s="1833"/>
      <c r="U375" s="1833"/>
      <c r="V375" s="1833"/>
      <c r="W375" s="1833"/>
      <c r="X375" s="1833"/>
      <c r="Y375" s="1833"/>
      <c r="Z375" s="1833"/>
      <c r="AA375" s="1833"/>
      <c r="AB375" s="1834"/>
      <c r="AC375" s="163">
        <f>+SUM(AC357:AC374)</f>
        <v>739.1848</v>
      </c>
    </row>
    <row r="376" spans="1:37" ht="15.75" customHeight="1" thickBot="1">
      <c r="A376" s="390"/>
      <c r="B376" s="348" t="s">
        <v>177</v>
      </c>
      <c r="C376" s="398" t="s">
        <v>40</v>
      </c>
      <c r="D376" s="684">
        <f>25*0.3*0.15</f>
        <v>1.125</v>
      </c>
      <c r="E376" s="863"/>
      <c r="F376" s="898">
        <f t="shared" si="37"/>
        <v>0</v>
      </c>
      <c r="G376" s="171"/>
      <c r="I376" s="406" t="s">
        <v>6</v>
      </c>
      <c r="J376" s="407" t="s">
        <v>7</v>
      </c>
      <c r="K376" s="439" t="s">
        <v>0</v>
      </c>
      <c r="L376" s="439" t="s">
        <v>8</v>
      </c>
      <c r="M376" s="407"/>
      <c r="N376" s="839" t="s">
        <v>387</v>
      </c>
      <c r="O376" s="409"/>
      <c r="R376" s="57"/>
      <c r="S376" s="57"/>
      <c r="T376" s="57"/>
      <c r="U376" s="57"/>
      <c r="V376" s="57"/>
      <c r="W376" s="57"/>
    </row>
    <row r="377" spans="1:37" ht="31.5">
      <c r="A377" s="390"/>
      <c r="B377" s="348" t="s">
        <v>161</v>
      </c>
      <c r="C377" s="398" t="s">
        <v>40</v>
      </c>
      <c r="D377" s="684">
        <f>+D372*0.1</f>
        <v>7.5000000000000011E-2</v>
      </c>
      <c r="E377" s="863"/>
      <c r="F377" s="898">
        <f t="shared" si="37"/>
        <v>0</v>
      </c>
      <c r="G377" s="171"/>
      <c r="I377" s="410"/>
      <c r="J377" s="416" t="s">
        <v>414</v>
      </c>
      <c r="K377" s="420" t="s">
        <v>22</v>
      </c>
      <c r="L377" s="545"/>
      <c r="M377" s="585"/>
      <c r="N377" s="830"/>
      <c r="O377" s="481"/>
      <c r="R377" s="57"/>
      <c r="S377" s="57"/>
      <c r="T377" s="57"/>
      <c r="U377" s="57"/>
      <c r="V377" s="57"/>
      <c r="W377" s="57"/>
    </row>
    <row r="378" spans="1:37" ht="30">
      <c r="A378" s="390"/>
      <c r="B378" s="348" t="s">
        <v>414</v>
      </c>
      <c r="C378" s="398" t="s">
        <v>22</v>
      </c>
      <c r="D378" s="684">
        <f>5*0.15</f>
        <v>0.75</v>
      </c>
      <c r="E378" s="863">
        <f>+E363</f>
        <v>0</v>
      </c>
      <c r="F378" s="898">
        <f t="shared" si="37"/>
        <v>0</v>
      </c>
      <c r="G378" s="171"/>
      <c r="I378" s="411"/>
      <c r="J378" s="417" t="s">
        <v>56</v>
      </c>
      <c r="K378" s="421" t="s">
        <v>31</v>
      </c>
      <c r="L378" s="498">
        <v>0.5</v>
      </c>
      <c r="M378" s="414"/>
      <c r="N378" s="546"/>
      <c r="O378" s="455"/>
      <c r="R378" s="57"/>
      <c r="S378" s="57"/>
      <c r="T378" s="57"/>
      <c r="U378" s="1832" t="s">
        <v>252</v>
      </c>
      <c r="V378" s="1833"/>
      <c r="W378" s="629"/>
      <c r="X378" s="629"/>
      <c r="Y378" s="629"/>
      <c r="Z378" s="629"/>
      <c r="AA378" s="629"/>
      <c r="AB378" s="629"/>
      <c r="AC378" s="630"/>
    </row>
    <row r="379" spans="1:37" ht="15.75">
      <c r="A379" s="390"/>
      <c r="B379" s="348" t="s">
        <v>193</v>
      </c>
      <c r="C379" s="398" t="s">
        <v>31</v>
      </c>
      <c r="D379" s="684">
        <v>5</v>
      </c>
      <c r="E379" s="863">
        <f>+E364</f>
        <v>0</v>
      </c>
      <c r="F379" s="898">
        <f t="shared" si="37"/>
        <v>0</v>
      </c>
      <c r="G379" s="171"/>
      <c r="I379" s="411"/>
      <c r="J379" s="417" t="s">
        <v>49</v>
      </c>
      <c r="K379" s="421" t="s">
        <v>31</v>
      </c>
      <c r="L379" s="498">
        <v>0.25</v>
      </c>
      <c r="M379" s="414"/>
      <c r="N379" s="546"/>
      <c r="O379" s="455"/>
      <c r="R379" s="57"/>
      <c r="S379" s="57"/>
      <c r="T379" s="57"/>
      <c r="U379" s="385" t="s">
        <v>120</v>
      </c>
      <c r="V379" s="385"/>
      <c r="W379" s="385" t="s">
        <v>219</v>
      </c>
      <c r="X379" s="385" t="s">
        <v>220</v>
      </c>
      <c r="Y379" s="385"/>
      <c r="Z379" s="633" t="s">
        <v>221</v>
      </c>
      <c r="AA379" s="633" t="s">
        <v>222</v>
      </c>
      <c r="AB379" s="633" t="s">
        <v>223</v>
      </c>
      <c r="AC379" s="385" t="s">
        <v>224</v>
      </c>
    </row>
    <row r="380" spans="1:37" ht="16.5" customHeight="1">
      <c r="A380" s="396"/>
      <c r="B380" s="551" t="s">
        <v>140</v>
      </c>
      <c r="C380" s="398" t="s">
        <v>43</v>
      </c>
      <c r="D380" s="684">
        <v>1</v>
      </c>
      <c r="E380" s="863">
        <f>+E365</f>
        <v>0</v>
      </c>
      <c r="F380" s="898">
        <f t="shared" si="37"/>
        <v>0</v>
      </c>
      <c r="G380" s="171"/>
      <c r="I380" s="411"/>
      <c r="J380" s="417" t="s">
        <v>54</v>
      </c>
      <c r="K380" s="421" t="s">
        <v>11</v>
      </c>
      <c r="L380" s="498">
        <v>0.1</v>
      </c>
      <c r="M380" s="414"/>
      <c r="N380" s="546"/>
      <c r="O380" s="455"/>
      <c r="R380" s="57"/>
      <c r="S380" s="57"/>
      <c r="T380" s="57"/>
      <c r="U380" s="637" t="s">
        <v>238</v>
      </c>
      <c r="V380" s="385" t="s">
        <v>239</v>
      </c>
      <c r="W380" s="115">
        <f>1.2+0.12+0.3</f>
        <v>1.6199999999999999</v>
      </c>
      <c r="X380" s="115">
        <f>ROUND((1/0.2),0)</f>
        <v>5</v>
      </c>
      <c r="Y380" s="115"/>
      <c r="Z380" s="115">
        <v>2</v>
      </c>
      <c r="AA380" s="68">
        <v>0.99399999999999999</v>
      </c>
      <c r="AB380" s="115">
        <f t="shared" ref="AB380:AB384" si="38">+PRODUCT(W380:AA380)</f>
        <v>16.102799999999998</v>
      </c>
      <c r="AC380" s="68" t="s">
        <v>227</v>
      </c>
    </row>
    <row r="381" spans="1:37" ht="34.5" customHeight="1">
      <c r="A381" s="809"/>
      <c r="B381" s="810"/>
      <c r="C381" s="809"/>
      <c r="D381" s="888"/>
      <c r="E381" s="809"/>
      <c r="F381" s="811"/>
      <c r="G381" s="171"/>
      <c r="I381" s="411"/>
      <c r="J381" s="417" t="s">
        <v>20</v>
      </c>
      <c r="K381" s="421" t="s">
        <v>18</v>
      </c>
      <c r="L381" s="498">
        <v>0.2</v>
      </c>
      <c r="M381" s="414"/>
      <c r="N381" s="546">
        <v>1.03</v>
      </c>
      <c r="O381" s="455"/>
      <c r="R381" s="57"/>
      <c r="S381" s="57"/>
      <c r="T381" s="57"/>
      <c r="U381" s="637"/>
      <c r="V381" s="385" t="s">
        <v>230</v>
      </c>
      <c r="W381" s="115">
        <v>1.3</v>
      </c>
      <c r="X381" s="115">
        <f>ROUND((1.32/0.2),0)</f>
        <v>7</v>
      </c>
      <c r="Y381" s="115"/>
      <c r="Z381" s="115">
        <v>2</v>
      </c>
      <c r="AA381" s="79">
        <v>0.56000000000000005</v>
      </c>
      <c r="AB381" s="115">
        <f t="shared" si="38"/>
        <v>10.192</v>
      </c>
      <c r="AC381" s="79" t="s">
        <v>240</v>
      </c>
    </row>
    <row r="382" spans="1:37" ht="16.5" thickBot="1">
      <c r="A382" s="1270" t="s">
        <v>5</v>
      </c>
      <c r="B382" s="1271"/>
      <c r="C382" s="1271"/>
      <c r="D382" s="1271"/>
      <c r="E382" s="1272"/>
      <c r="F382" s="911">
        <f>ROUND(SUM(F371:F380),0)</f>
        <v>0</v>
      </c>
      <c r="G382" s="171"/>
      <c r="I382" s="411"/>
      <c r="J382" s="417" t="s">
        <v>19</v>
      </c>
      <c r="K382" s="421" t="s">
        <v>66</v>
      </c>
      <c r="L382" s="498">
        <v>2</v>
      </c>
      <c r="M382" s="414"/>
      <c r="N382" s="546"/>
      <c r="O382" s="455"/>
      <c r="Q382" s="57"/>
      <c r="R382" s="57"/>
      <c r="S382" s="57"/>
      <c r="T382" s="57"/>
      <c r="U382" s="637" t="s">
        <v>253</v>
      </c>
      <c r="V382" s="385" t="s">
        <v>254</v>
      </c>
      <c r="W382" s="115">
        <v>1.3</v>
      </c>
      <c r="X382" s="115">
        <v>2</v>
      </c>
      <c r="Y382" s="115"/>
      <c r="Z382" s="115">
        <v>1</v>
      </c>
      <c r="AA382" s="79">
        <v>0.56000000000000005</v>
      </c>
      <c r="AB382" s="115">
        <f t="shared" si="38"/>
        <v>1.4560000000000002</v>
      </c>
      <c r="AC382" s="79" t="s">
        <v>240</v>
      </c>
    </row>
    <row r="383" spans="1:37" ht="24.75" customHeight="1" thickBot="1">
      <c r="A383" s="1227"/>
      <c r="B383" s="1227"/>
      <c r="C383" s="1227"/>
      <c r="D383" s="1227"/>
      <c r="E383" s="1227"/>
      <c r="F383" s="916"/>
      <c r="G383" s="171"/>
      <c r="I383" s="411"/>
      <c r="J383" s="417" t="s">
        <v>412</v>
      </c>
      <c r="K383" s="421" t="s">
        <v>40</v>
      </c>
      <c r="L383" s="498">
        <f>1*0.7*0.1</f>
        <v>6.9999999999999993E-2</v>
      </c>
      <c r="M383" s="414"/>
      <c r="N383" s="546"/>
      <c r="O383" s="455"/>
      <c r="Q383" s="57"/>
      <c r="R383" s="57"/>
      <c r="S383" s="57"/>
      <c r="T383" s="57"/>
      <c r="U383" s="637" t="s">
        <v>225</v>
      </c>
      <c r="V383" s="385" t="s">
        <v>255</v>
      </c>
      <c r="W383" s="68">
        <f>0.15+0.17+1+0.1</f>
        <v>1.4200000000000002</v>
      </c>
      <c r="X383" s="115">
        <f>ROUND((1/0.15),0)</f>
        <v>7</v>
      </c>
      <c r="Y383" s="115"/>
      <c r="Z383" s="115">
        <v>1</v>
      </c>
      <c r="AA383" s="68">
        <v>0.99399999999999999</v>
      </c>
      <c r="AB383" s="115">
        <f t="shared" si="38"/>
        <v>9.8803600000000014</v>
      </c>
      <c r="AC383" s="68" t="s">
        <v>227</v>
      </c>
    </row>
    <row r="384" spans="1:37" ht="16.5" thickBot="1">
      <c r="A384" s="818"/>
      <c r="B384" s="1811" t="s">
        <v>439</v>
      </c>
      <c r="C384" s="1812"/>
      <c r="D384" s="1812"/>
      <c r="E384" s="1812"/>
      <c r="F384" s="562" t="s">
        <v>214</v>
      </c>
      <c r="G384" s="171"/>
      <c r="I384" s="411"/>
      <c r="J384" s="417" t="s">
        <v>413</v>
      </c>
      <c r="K384" s="421" t="s">
        <v>12</v>
      </c>
      <c r="L384" s="498">
        <v>1</v>
      </c>
      <c r="M384" s="414"/>
      <c r="N384" s="841">
        <v>7.0000000000000007E-2</v>
      </c>
      <c r="O384" s="455"/>
      <c r="Q384" s="57"/>
      <c r="R384" s="57"/>
      <c r="S384" s="57"/>
      <c r="T384" s="57"/>
      <c r="U384" s="637"/>
      <c r="V384" s="385" t="s">
        <v>254</v>
      </c>
      <c r="W384" s="115">
        <v>1.3</v>
      </c>
      <c r="X384" s="115">
        <f>ROUND((1.3/0.2),0)</f>
        <v>7</v>
      </c>
      <c r="Y384" s="115"/>
      <c r="Z384" s="115">
        <v>1</v>
      </c>
      <c r="AA384" s="79">
        <v>0.56000000000000005</v>
      </c>
      <c r="AB384" s="115">
        <f t="shared" si="38"/>
        <v>5.0960000000000001</v>
      </c>
      <c r="AC384" s="79" t="s">
        <v>240</v>
      </c>
    </row>
    <row r="385" spans="1:29" ht="15.75">
      <c r="A385" s="387" t="s">
        <v>429</v>
      </c>
      <c r="B385" s="388" t="s">
        <v>7</v>
      </c>
      <c r="C385" s="389" t="s">
        <v>0</v>
      </c>
      <c r="D385" s="656" t="s">
        <v>8</v>
      </c>
      <c r="E385" s="389" t="s">
        <v>2</v>
      </c>
      <c r="F385" s="547" t="s">
        <v>9</v>
      </c>
      <c r="G385" s="171"/>
      <c r="I385" s="411"/>
      <c r="J385" s="417" t="s">
        <v>25</v>
      </c>
      <c r="K385" s="421" t="s">
        <v>14</v>
      </c>
      <c r="L385" s="498">
        <v>0.1</v>
      </c>
      <c r="M385" s="414"/>
      <c r="N385" s="546"/>
      <c r="O385" s="455"/>
      <c r="Q385" s="57"/>
      <c r="R385" s="57"/>
      <c r="S385" s="57"/>
      <c r="T385" s="57"/>
      <c r="U385" s="385" t="s">
        <v>223</v>
      </c>
      <c r="V385" s="385"/>
      <c r="W385" s="385"/>
      <c r="X385" s="385"/>
      <c r="Y385" s="385"/>
      <c r="Z385" s="385"/>
      <c r="AA385" s="385"/>
      <c r="AB385" s="163">
        <f>SUM(AB380:AB384)</f>
        <v>42.727159999999998</v>
      </c>
      <c r="AC385" s="68"/>
    </row>
    <row r="386" spans="1:29">
      <c r="A386" s="390"/>
      <c r="B386" s="348" t="s">
        <v>159</v>
      </c>
      <c r="C386" s="657" t="s">
        <v>31</v>
      </c>
      <c r="D386" s="894">
        <v>4</v>
      </c>
      <c r="E386" s="897">
        <f>+E371</f>
        <v>0</v>
      </c>
      <c r="F386" s="898">
        <f>+ROUND(E386*D386,0)</f>
        <v>0</v>
      </c>
      <c r="G386" s="171"/>
      <c r="I386" s="411"/>
      <c r="J386" s="417"/>
      <c r="K386" s="421"/>
      <c r="L386" s="498"/>
      <c r="M386" s="414"/>
      <c r="N386" s="546"/>
      <c r="O386" s="455"/>
      <c r="Q386" s="57"/>
      <c r="R386" s="57"/>
      <c r="S386" s="57"/>
      <c r="T386" s="57"/>
      <c r="U386" s="73"/>
      <c r="V386" s="73"/>
    </row>
    <row r="387" spans="1:29" ht="15.75" thickBot="1">
      <c r="A387" s="390"/>
      <c r="B387" s="348" t="s">
        <v>160</v>
      </c>
      <c r="C387" s="607" t="s">
        <v>3</v>
      </c>
      <c r="D387" s="894">
        <f>2*0.15</f>
        <v>0.3</v>
      </c>
      <c r="E387" s="897">
        <f>+E372</f>
        <v>0</v>
      </c>
      <c r="F387" s="898">
        <f t="shared" ref="F387:F395" si="39">+ROUND(E387*D387,0)</f>
        <v>0</v>
      </c>
      <c r="G387" s="171"/>
      <c r="I387" s="415"/>
      <c r="J387" s="457"/>
      <c r="K387" s="426"/>
      <c r="L387" s="499"/>
      <c r="M387" s="460"/>
      <c r="N387" s="847"/>
      <c r="O387" s="461"/>
      <c r="Q387" s="57"/>
      <c r="R387" s="57"/>
      <c r="S387" s="57"/>
      <c r="T387" s="57"/>
      <c r="U387" s="73"/>
      <c r="V387" s="73"/>
    </row>
    <row r="388" spans="1:29" ht="16.5" thickBot="1">
      <c r="A388" s="390"/>
      <c r="B388" s="348" t="s">
        <v>150</v>
      </c>
      <c r="C388" s="398" t="s">
        <v>40</v>
      </c>
      <c r="D388" s="684">
        <f>2*0.15*0.3</f>
        <v>0.09</v>
      </c>
      <c r="E388" s="863">
        <f>+E373</f>
        <v>0</v>
      </c>
      <c r="F388" s="898">
        <f t="shared" si="39"/>
        <v>0</v>
      </c>
      <c r="G388" s="171"/>
      <c r="I388" s="643" t="s">
        <v>5</v>
      </c>
      <c r="J388" s="644"/>
      <c r="K388" s="826"/>
      <c r="L388" s="826"/>
      <c r="M388" s="644"/>
      <c r="N388" s="846"/>
      <c r="O388" s="646"/>
      <c r="Q388" s="57"/>
      <c r="R388" s="57"/>
      <c r="S388" s="57"/>
      <c r="T388" s="57"/>
      <c r="U388" s="1806" t="s">
        <v>256</v>
      </c>
      <c r="V388" s="1807"/>
      <c r="W388" s="631"/>
      <c r="X388" s="631"/>
      <c r="Y388" s="631"/>
      <c r="Z388" s="631"/>
      <c r="AA388" s="632"/>
    </row>
    <row r="389" spans="1:29" ht="15.75">
      <c r="A389" s="390"/>
      <c r="B389" s="348" t="s">
        <v>135</v>
      </c>
      <c r="C389" s="398" t="s">
        <v>40</v>
      </c>
      <c r="D389" s="684">
        <f>D387*0.12+(2*0.1*0.15)</f>
        <v>6.6000000000000003E-2</v>
      </c>
      <c r="E389" s="863">
        <f>+E374</f>
        <v>0</v>
      </c>
      <c r="F389" s="898">
        <f t="shared" si="39"/>
        <v>0</v>
      </c>
      <c r="G389" s="171"/>
      <c r="O389" s="672"/>
      <c r="Q389" s="57"/>
      <c r="R389" s="57"/>
      <c r="S389" s="57"/>
      <c r="T389" s="57"/>
      <c r="U389" s="637" t="s">
        <v>120</v>
      </c>
      <c r="V389" s="637" t="s">
        <v>230</v>
      </c>
      <c r="W389" s="637" t="s">
        <v>231</v>
      </c>
      <c r="X389" s="637" t="s">
        <v>232</v>
      </c>
      <c r="Y389" s="637"/>
      <c r="Z389" s="637" t="s">
        <v>221</v>
      </c>
      <c r="AA389" s="637" t="s">
        <v>233</v>
      </c>
    </row>
    <row r="390" spans="1:29">
      <c r="A390" s="390"/>
      <c r="B390" s="348" t="s">
        <v>83</v>
      </c>
      <c r="C390" s="398" t="s">
        <v>40</v>
      </c>
      <c r="D390" s="684">
        <f>+D389</f>
        <v>6.6000000000000003E-2</v>
      </c>
      <c r="E390" s="863">
        <f>+E360</f>
        <v>0</v>
      </c>
      <c r="F390" s="898">
        <f t="shared" si="39"/>
        <v>0</v>
      </c>
      <c r="G390" s="171"/>
      <c r="O390" s="672"/>
      <c r="Q390" s="57"/>
      <c r="R390" s="57"/>
      <c r="S390" s="57"/>
      <c r="T390" s="57"/>
      <c r="U390" s="97" t="s">
        <v>234</v>
      </c>
      <c r="V390" s="115">
        <v>1.32</v>
      </c>
      <c r="W390" s="115">
        <v>0.12</v>
      </c>
      <c r="X390" s="115">
        <v>1</v>
      </c>
      <c r="Y390" s="115"/>
      <c r="Z390" s="115">
        <v>1</v>
      </c>
      <c r="AA390" s="115">
        <f>+Z390*X390*W390*V390</f>
        <v>0.15840000000000001</v>
      </c>
    </row>
    <row r="391" spans="1:29">
      <c r="A391" s="390"/>
      <c r="B391" s="348" t="s">
        <v>177</v>
      </c>
      <c r="C391" s="396" t="s">
        <v>40</v>
      </c>
      <c r="D391" s="684">
        <f>0.15*0.1*2</f>
        <v>0.03</v>
      </c>
      <c r="E391" s="863">
        <f>+E376</f>
        <v>0</v>
      </c>
      <c r="F391" s="898">
        <f t="shared" si="39"/>
        <v>0</v>
      </c>
      <c r="G391" s="171"/>
      <c r="O391" s="672"/>
      <c r="Q391" s="57"/>
      <c r="R391" s="57"/>
      <c r="S391" s="57"/>
      <c r="T391" s="57"/>
      <c r="U391" s="97" t="s">
        <v>234</v>
      </c>
      <c r="V391" s="115">
        <v>1.32</v>
      </c>
      <c r="W391" s="115">
        <v>0.17</v>
      </c>
      <c r="X391" s="115">
        <v>1</v>
      </c>
      <c r="Y391" s="115"/>
      <c r="Z391" s="115">
        <v>1</v>
      </c>
      <c r="AA391" s="115">
        <f t="shared" ref="AA391:AA393" si="40">+Z391*X391*W391*V391</f>
        <v>0.22440000000000002</v>
      </c>
    </row>
    <row r="392" spans="1:29">
      <c r="A392" s="390"/>
      <c r="B392" s="348" t="s">
        <v>161</v>
      </c>
      <c r="C392" s="398" t="s">
        <v>40</v>
      </c>
      <c r="D392" s="684">
        <f>+D387*0.1</f>
        <v>0.03</v>
      </c>
      <c r="E392" s="863">
        <f>+E377</f>
        <v>0</v>
      </c>
      <c r="F392" s="898">
        <f t="shared" si="39"/>
        <v>0</v>
      </c>
      <c r="G392" s="171"/>
      <c r="I392" s="57"/>
      <c r="J392" s="50"/>
      <c r="K392" s="50"/>
      <c r="L392" s="50"/>
      <c r="M392" s="50"/>
      <c r="N392" s="50"/>
      <c r="O392" s="170"/>
      <c r="Q392" s="57"/>
      <c r="R392" s="57"/>
      <c r="S392" s="57"/>
      <c r="T392" s="57"/>
      <c r="U392" s="89" t="s">
        <v>235</v>
      </c>
      <c r="V392" s="50">
        <v>0.15</v>
      </c>
      <c r="W392" s="68">
        <f>1+0.12+0.17</f>
        <v>1.29</v>
      </c>
      <c r="X392" s="115">
        <v>1</v>
      </c>
      <c r="Y392" s="115"/>
      <c r="Z392" s="115">
        <v>1</v>
      </c>
      <c r="AA392" s="115">
        <f t="shared" si="40"/>
        <v>0.19350000000000001</v>
      </c>
    </row>
    <row r="393" spans="1:29" ht="30">
      <c r="A393" s="390"/>
      <c r="B393" s="348" t="s">
        <v>414</v>
      </c>
      <c r="C393" s="398" t="s">
        <v>22</v>
      </c>
      <c r="D393" s="684">
        <f>+D387</f>
        <v>0.3</v>
      </c>
      <c r="E393" s="863">
        <f>+E378</f>
        <v>0</v>
      </c>
      <c r="F393" s="898">
        <f t="shared" si="39"/>
        <v>0</v>
      </c>
      <c r="G393" s="171"/>
      <c r="O393" s="672"/>
      <c r="Q393" s="57"/>
      <c r="R393" s="57"/>
      <c r="S393" s="57"/>
      <c r="T393" s="57"/>
      <c r="U393" s="89" t="s">
        <v>253</v>
      </c>
      <c r="V393" s="68">
        <v>0.12</v>
      </c>
      <c r="W393" s="68">
        <f>1+0.12+0.17</f>
        <v>1.29</v>
      </c>
      <c r="X393" s="115">
        <v>1</v>
      </c>
      <c r="Y393" s="115"/>
      <c r="Z393" s="115">
        <v>1</v>
      </c>
      <c r="AA393" s="115">
        <f t="shared" si="40"/>
        <v>0.15479999999999999</v>
      </c>
    </row>
    <row r="394" spans="1:29" ht="27" customHeight="1">
      <c r="A394" s="886"/>
      <c r="B394" s="1417" t="s">
        <v>433</v>
      </c>
      <c r="C394" s="1418" t="s">
        <v>31</v>
      </c>
      <c r="D394" s="1419">
        <v>2</v>
      </c>
      <c r="E394" s="1420"/>
      <c r="F394" s="898">
        <f t="shared" si="39"/>
        <v>0</v>
      </c>
      <c r="G394" s="171"/>
      <c r="I394" s="57"/>
      <c r="J394" s="57"/>
      <c r="K394" s="50"/>
      <c r="L394" s="50"/>
      <c r="M394" s="57"/>
      <c r="N394" s="50"/>
      <c r="O394" s="349"/>
      <c r="Q394" s="57"/>
      <c r="R394" s="57"/>
      <c r="S394" s="57"/>
      <c r="T394" s="57"/>
      <c r="U394" s="744" t="s">
        <v>223</v>
      </c>
      <c r="V394" s="631"/>
      <c r="W394" s="631"/>
      <c r="X394" s="631"/>
      <c r="Y394" s="631"/>
      <c r="Z394" s="632"/>
      <c r="AA394" s="763">
        <f>SUM(AA390:AA393)</f>
        <v>0.73110000000000008</v>
      </c>
    </row>
    <row r="395" spans="1:29">
      <c r="A395" s="396"/>
      <c r="B395" s="551" t="s">
        <v>140</v>
      </c>
      <c r="C395" s="396" t="s">
        <v>43</v>
      </c>
      <c r="D395" s="397">
        <v>1</v>
      </c>
      <c r="E395" s="897">
        <f>+E380</f>
        <v>0</v>
      </c>
      <c r="F395" s="898">
        <f t="shared" si="39"/>
        <v>0</v>
      </c>
      <c r="G395" s="171"/>
      <c r="I395" s="57"/>
      <c r="J395" s="57"/>
      <c r="K395" s="50"/>
      <c r="L395" s="50"/>
      <c r="M395" s="57"/>
      <c r="N395" s="50"/>
      <c r="O395" s="349"/>
      <c r="P395" s="672"/>
      <c r="Q395" s="349"/>
      <c r="R395" s="349"/>
      <c r="S395" s="57"/>
      <c r="T395" s="57"/>
      <c r="U395" s="57"/>
      <c r="V395" s="57"/>
      <c r="W395" s="57"/>
    </row>
    <row r="396" spans="1:29">
      <c r="A396" s="809"/>
      <c r="B396" s="810"/>
      <c r="C396" s="809"/>
      <c r="D396" s="888"/>
      <c r="E396" s="809"/>
      <c r="F396" s="811"/>
      <c r="G396" s="171"/>
      <c r="I396" s="57"/>
      <c r="J396" s="57"/>
      <c r="K396" s="50"/>
      <c r="P396" s="672"/>
      <c r="Q396" s="349"/>
      <c r="R396" s="349"/>
      <c r="S396" s="349"/>
      <c r="T396" s="349"/>
      <c r="U396" s="57"/>
      <c r="V396" s="57"/>
      <c r="W396" s="57"/>
    </row>
    <row r="397" spans="1:29" ht="16.5" customHeight="1" thickBot="1">
      <c r="A397" s="1270" t="s">
        <v>5</v>
      </c>
      <c r="B397" s="1271"/>
      <c r="C397" s="1271"/>
      <c r="D397" s="1271"/>
      <c r="E397" s="1272"/>
      <c r="F397" s="911">
        <f>ROUND(SUM(F386:F395),0)</f>
        <v>0</v>
      </c>
      <c r="G397" s="171"/>
      <c r="I397" s="57"/>
      <c r="J397" s="57"/>
      <c r="K397" s="50"/>
      <c r="P397" s="672"/>
      <c r="Q397" s="349"/>
      <c r="R397" s="349"/>
      <c r="S397" s="349"/>
      <c r="T397" s="349"/>
      <c r="U397" s="57"/>
      <c r="V397" s="57"/>
      <c r="W397" s="57"/>
    </row>
    <row r="398" spans="1:29" ht="15.75" thickBot="1">
      <c r="A398" s="728"/>
      <c r="B398" s="729"/>
      <c r="C398" s="728"/>
      <c r="D398" s="743"/>
      <c r="E398" s="728"/>
      <c r="F398" s="58"/>
      <c r="G398" s="171"/>
      <c r="H398" s="57"/>
      <c r="I398" s="57"/>
      <c r="J398" s="57"/>
      <c r="K398" s="50"/>
      <c r="P398" s="672"/>
      <c r="Q398" s="349"/>
      <c r="R398" s="349"/>
      <c r="S398" s="349"/>
      <c r="T398" s="349"/>
      <c r="U398" s="57"/>
      <c r="V398" s="57"/>
      <c r="W398" s="57"/>
    </row>
    <row r="399" spans="1:29" ht="16.5" thickBot="1">
      <c r="A399" s="818"/>
      <c r="B399" s="1816" t="s">
        <v>436</v>
      </c>
      <c r="C399" s="1817"/>
      <c r="D399" s="1817"/>
      <c r="E399" s="1817"/>
      <c r="F399" s="562" t="s">
        <v>214</v>
      </c>
      <c r="G399" s="171"/>
      <c r="H399" s="57"/>
      <c r="I399" s="57"/>
      <c r="J399" s="57"/>
      <c r="K399" s="50"/>
      <c r="P399" s="672"/>
      <c r="Q399" s="349"/>
      <c r="R399" s="349"/>
      <c r="S399" s="1837" t="s">
        <v>555</v>
      </c>
      <c r="T399" s="1838"/>
      <c r="U399" s="1838"/>
      <c r="V399" s="1838"/>
      <c r="W399" s="1838"/>
      <c r="X399" s="1839"/>
      <c r="Y399" s="171"/>
      <c r="Z399" s="1213"/>
      <c r="AA399" s="1213"/>
      <c r="AB399" s="728"/>
    </row>
    <row r="400" spans="1:29" ht="15.75">
      <c r="A400" s="387" t="s">
        <v>430</v>
      </c>
      <c r="B400" s="388" t="s">
        <v>7</v>
      </c>
      <c r="C400" s="389" t="s">
        <v>0</v>
      </c>
      <c r="D400" s="656" t="s">
        <v>8</v>
      </c>
      <c r="E400" s="389" t="s">
        <v>2</v>
      </c>
      <c r="F400" s="547" t="s">
        <v>9</v>
      </c>
      <c r="G400" s="171"/>
      <c r="H400" s="57"/>
      <c r="I400" s="57"/>
      <c r="J400" s="57"/>
      <c r="K400" s="50"/>
      <c r="P400" s="349"/>
      <c r="Q400" s="576"/>
      <c r="R400" s="576"/>
      <c r="S400" s="1187" t="s">
        <v>258</v>
      </c>
      <c r="T400" s="1181" t="s">
        <v>259</v>
      </c>
      <c r="U400" s="1181" t="s">
        <v>260</v>
      </c>
      <c r="V400" s="1181" t="s">
        <v>261</v>
      </c>
      <c r="W400" s="1181" t="s">
        <v>262</v>
      </c>
      <c r="X400" s="1181" t="s">
        <v>233</v>
      </c>
      <c r="Y400" s="1214"/>
      <c r="Z400" s="171"/>
      <c r="AA400" s="1215"/>
      <c r="AB400" s="728"/>
    </row>
    <row r="401" spans="1:28" ht="15.75">
      <c r="A401" s="390"/>
      <c r="B401" s="348" t="s">
        <v>159</v>
      </c>
      <c r="C401" s="657" t="s">
        <v>31</v>
      </c>
      <c r="D401" s="894">
        <v>5</v>
      </c>
      <c r="E401" s="897">
        <f>+E386</f>
        <v>0</v>
      </c>
      <c r="F401" s="898">
        <f>+ROUND(E401*D401,0)</f>
        <v>0</v>
      </c>
      <c r="G401" s="1425"/>
      <c r="H401" s="57"/>
      <c r="I401" s="57"/>
      <c r="J401" s="57"/>
      <c r="K401" s="50"/>
      <c r="P401" s="349"/>
      <c r="Q401" s="672"/>
      <c r="R401" s="672"/>
      <c r="S401" s="1182" t="s">
        <v>263</v>
      </c>
      <c r="T401" s="996">
        <v>2</v>
      </c>
      <c r="U401" s="1147">
        <v>3.9</v>
      </c>
      <c r="V401" s="1147">
        <v>0.2</v>
      </c>
      <c r="W401" s="1147">
        <v>2.4</v>
      </c>
      <c r="X401" s="1147">
        <f t="shared" ref="X401:X413" si="41">+PRODUCT(T401:W401)</f>
        <v>3.7439999999999998</v>
      </c>
      <c r="Y401" s="728"/>
      <c r="Z401" s="1214"/>
      <c r="AA401" s="1216"/>
      <c r="AB401" s="1213"/>
    </row>
    <row r="402" spans="1:28" ht="15.75">
      <c r="A402" s="390"/>
      <c r="B402" s="348" t="s">
        <v>160</v>
      </c>
      <c r="C402" s="607" t="s">
        <v>3</v>
      </c>
      <c r="D402" s="894">
        <f>5*0.15</f>
        <v>0.75</v>
      </c>
      <c r="E402" s="897">
        <f>+E387</f>
        <v>0</v>
      </c>
      <c r="F402" s="898">
        <f t="shared" ref="F402:F410" si="42">+ROUND(E402*D402,0)</f>
        <v>0</v>
      </c>
      <c r="G402" s="171"/>
      <c r="H402" s="57"/>
      <c r="I402" s="57"/>
      <c r="J402" s="57"/>
      <c r="K402" s="50"/>
      <c r="P402" s="349"/>
      <c r="Q402" s="672"/>
      <c r="R402" s="672"/>
      <c r="S402" s="1182" t="s">
        <v>264</v>
      </c>
      <c r="T402" s="996">
        <v>2</v>
      </c>
      <c r="U402" s="1147">
        <v>2.5</v>
      </c>
      <c r="V402" s="1147">
        <v>0.2</v>
      </c>
      <c r="W402" s="1147">
        <v>2.4</v>
      </c>
      <c r="X402" s="1147">
        <f t="shared" si="41"/>
        <v>2.4</v>
      </c>
      <c r="Y402" s="728"/>
      <c r="Z402" s="1214"/>
      <c r="AA402" s="1216"/>
      <c r="AB402" s="1215"/>
    </row>
    <row r="403" spans="1:28">
      <c r="A403" s="390"/>
      <c r="B403" s="348" t="s">
        <v>150</v>
      </c>
      <c r="C403" s="398" t="s">
        <v>40</v>
      </c>
      <c r="D403" s="684">
        <f>5*0.15*0.3</f>
        <v>0.22499999999999998</v>
      </c>
      <c r="E403" s="863">
        <f>+E388</f>
        <v>0</v>
      </c>
      <c r="F403" s="898">
        <f t="shared" si="42"/>
        <v>0</v>
      </c>
      <c r="G403" s="171"/>
      <c r="H403" s="57"/>
      <c r="I403" s="57"/>
      <c r="J403" s="57"/>
      <c r="K403" s="50"/>
      <c r="P403" s="349"/>
      <c r="Q403" s="672"/>
      <c r="R403" s="672"/>
      <c r="S403" s="1182" t="s">
        <v>265</v>
      </c>
      <c r="T403" s="996">
        <v>-2</v>
      </c>
      <c r="U403" s="1147">
        <v>-1.2</v>
      </c>
      <c r="V403" s="1147">
        <v>0.2</v>
      </c>
      <c r="W403" s="1147">
        <v>0.65</v>
      </c>
      <c r="X403" s="1147">
        <f t="shared" si="41"/>
        <v>0.312</v>
      </c>
      <c r="Y403" s="728"/>
      <c r="Z403" s="1214"/>
      <c r="AA403" s="1216"/>
      <c r="AB403" s="1216"/>
    </row>
    <row r="404" spans="1:28" ht="16.5" customHeight="1">
      <c r="A404" s="390"/>
      <c r="B404" s="348" t="s">
        <v>135</v>
      </c>
      <c r="C404" s="398" t="s">
        <v>40</v>
      </c>
      <c r="D404" s="684">
        <f>D402*0.12+(5*0.1*0.15)</f>
        <v>0.16499999999999998</v>
      </c>
      <c r="E404" s="863">
        <f>+E389</f>
        <v>0</v>
      </c>
      <c r="F404" s="898">
        <f t="shared" si="42"/>
        <v>0</v>
      </c>
      <c r="G404" s="171"/>
      <c r="H404" s="57"/>
      <c r="I404" s="57"/>
      <c r="J404" s="57"/>
      <c r="K404" s="50"/>
      <c r="P404" s="349"/>
      <c r="Q404" s="672"/>
      <c r="R404" s="672"/>
      <c r="S404" s="1182" t="s">
        <v>266</v>
      </c>
      <c r="T404" s="996">
        <v>1</v>
      </c>
      <c r="U404" s="1006">
        <v>3.9</v>
      </c>
      <c r="V404" s="1006">
        <v>2.9</v>
      </c>
      <c r="W404" s="1147">
        <v>0.17</v>
      </c>
      <c r="X404" s="1147">
        <f t="shared" si="41"/>
        <v>1.9226999999999999</v>
      </c>
      <c r="Y404" s="728"/>
      <c r="Z404" s="728"/>
      <c r="AA404" s="728"/>
      <c r="AB404" s="1216"/>
    </row>
    <row r="405" spans="1:28" ht="24" customHeight="1">
      <c r="A405" s="390"/>
      <c r="B405" s="348" t="s">
        <v>83</v>
      </c>
      <c r="C405" s="398" t="s">
        <v>40</v>
      </c>
      <c r="D405" s="684">
        <f>+D404</f>
        <v>0.16499999999999998</v>
      </c>
      <c r="E405" s="863">
        <f>+E390</f>
        <v>0</v>
      </c>
      <c r="F405" s="898">
        <f t="shared" si="42"/>
        <v>0</v>
      </c>
      <c r="G405" s="171"/>
      <c r="H405" s="57"/>
      <c r="I405" s="57"/>
      <c r="J405" s="57"/>
      <c r="K405" s="50"/>
      <c r="P405" s="349"/>
      <c r="Q405" s="672"/>
      <c r="R405" s="672"/>
      <c r="S405" s="1182" t="s">
        <v>267</v>
      </c>
      <c r="T405" s="996">
        <v>-1</v>
      </c>
      <c r="U405" s="1006">
        <v>1</v>
      </c>
      <c r="V405" s="1006">
        <v>1</v>
      </c>
      <c r="W405" s="1147">
        <v>0.17</v>
      </c>
      <c r="X405" s="1147">
        <f t="shared" si="41"/>
        <v>-0.17</v>
      </c>
      <c r="Y405" s="728"/>
      <c r="Z405" s="728"/>
      <c r="AA405" s="728"/>
      <c r="AB405" s="1216"/>
    </row>
    <row r="406" spans="1:28">
      <c r="A406" s="390"/>
      <c r="B406" s="348" t="s">
        <v>177</v>
      </c>
      <c r="C406" s="396" t="s">
        <v>40</v>
      </c>
      <c r="D406" s="684">
        <f>0.15*0.1*5</f>
        <v>7.4999999999999997E-2</v>
      </c>
      <c r="E406" s="863"/>
      <c r="F406" s="898">
        <f t="shared" si="42"/>
        <v>0</v>
      </c>
      <c r="G406" s="171"/>
      <c r="H406" s="57"/>
      <c r="I406" s="57"/>
      <c r="J406" s="57"/>
      <c r="K406" s="50"/>
      <c r="P406" s="349"/>
      <c r="Q406" s="672"/>
      <c r="R406" s="672"/>
      <c r="S406" s="1182" t="s">
        <v>268</v>
      </c>
      <c r="T406" s="996">
        <v>2</v>
      </c>
      <c r="U406" s="996">
        <v>2.5</v>
      </c>
      <c r="V406" s="996">
        <v>0.2</v>
      </c>
      <c r="W406" s="996">
        <v>0.25</v>
      </c>
      <c r="X406" s="1147">
        <f t="shared" si="41"/>
        <v>0.25</v>
      </c>
      <c r="Y406" s="728"/>
      <c r="Z406" s="728"/>
      <c r="AA406" s="728"/>
      <c r="AB406" s="728"/>
    </row>
    <row r="407" spans="1:28">
      <c r="A407" s="390"/>
      <c r="B407" s="348" t="s">
        <v>161</v>
      </c>
      <c r="C407" s="398" t="s">
        <v>40</v>
      </c>
      <c r="D407" s="684">
        <f>+D402*0.1</f>
        <v>7.5000000000000011E-2</v>
      </c>
      <c r="E407" s="863">
        <f>+E392</f>
        <v>0</v>
      </c>
      <c r="F407" s="898">
        <f t="shared" si="42"/>
        <v>0</v>
      </c>
      <c r="G407" s="171"/>
      <c r="H407" s="57"/>
      <c r="I407" s="57"/>
      <c r="J407" s="57"/>
      <c r="K407" s="50"/>
      <c r="P407" s="349"/>
      <c r="Q407" s="672"/>
      <c r="R407" s="672"/>
      <c r="S407" s="1182" t="s">
        <v>269</v>
      </c>
      <c r="T407" s="996">
        <v>2</v>
      </c>
      <c r="U407" s="996">
        <v>1.2</v>
      </c>
      <c r="V407" s="996">
        <v>0.2</v>
      </c>
      <c r="W407" s="996">
        <v>0.25</v>
      </c>
      <c r="X407" s="1147">
        <f t="shared" si="41"/>
        <v>0.12</v>
      </c>
      <c r="Y407" s="728"/>
      <c r="Z407" s="728"/>
      <c r="AA407" s="728"/>
      <c r="AB407" s="728"/>
    </row>
    <row r="408" spans="1:28" ht="30">
      <c r="A408" s="390"/>
      <c r="B408" s="348" t="s">
        <v>414</v>
      </c>
      <c r="C408" s="398" t="s">
        <v>22</v>
      </c>
      <c r="D408" s="684">
        <f>+D402</f>
        <v>0.75</v>
      </c>
      <c r="E408" s="863">
        <f>+E393</f>
        <v>0</v>
      </c>
      <c r="F408" s="898">
        <f t="shared" si="42"/>
        <v>0</v>
      </c>
      <c r="G408" s="171"/>
      <c r="H408" s="57"/>
      <c r="I408" s="57"/>
      <c r="J408" s="57"/>
      <c r="K408" s="50"/>
      <c r="P408" s="349"/>
      <c r="Q408" s="672"/>
      <c r="R408" s="672"/>
      <c r="S408" s="1182" t="s">
        <v>270</v>
      </c>
      <c r="T408" s="996">
        <v>1</v>
      </c>
      <c r="U408" s="996">
        <v>2.9</v>
      </c>
      <c r="V408" s="996">
        <v>0.2</v>
      </c>
      <c r="W408" s="996">
        <v>0.25</v>
      </c>
      <c r="X408" s="1147">
        <f t="shared" si="41"/>
        <v>0.14499999999999999</v>
      </c>
      <c r="Y408" s="728"/>
      <c r="Z408" s="171"/>
      <c r="AA408" s="1217"/>
      <c r="AB408" s="728"/>
    </row>
    <row r="409" spans="1:28">
      <c r="A409" s="886"/>
      <c r="B409" s="1426" t="s">
        <v>433</v>
      </c>
      <c r="C409" s="1427" t="s">
        <v>31</v>
      </c>
      <c r="D409" s="1428">
        <v>5</v>
      </c>
      <c r="E409" s="1429">
        <f>+E394</f>
        <v>0</v>
      </c>
      <c r="F409" s="898">
        <f t="shared" si="42"/>
        <v>0</v>
      </c>
      <c r="G409" s="171"/>
      <c r="H409" s="57"/>
      <c r="I409" s="57"/>
      <c r="J409" s="57"/>
      <c r="K409" s="50"/>
      <c r="P409" s="349"/>
      <c r="Q409" s="672"/>
      <c r="R409" s="672"/>
      <c r="S409" s="1182" t="s">
        <v>271</v>
      </c>
      <c r="T409" s="996">
        <v>2</v>
      </c>
      <c r="U409" s="996">
        <v>1.2</v>
      </c>
      <c r="V409" s="996">
        <v>0.2</v>
      </c>
      <c r="W409" s="996">
        <v>0.25</v>
      </c>
      <c r="X409" s="1147">
        <f t="shared" si="41"/>
        <v>0.12</v>
      </c>
      <c r="Y409" s="728"/>
      <c r="Z409" s="171"/>
      <c r="AA409" s="1217"/>
      <c r="AB409" s="728"/>
    </row>
    <row r="410" spans="1:28" ht="16.5" customHeight="1">
      <c r="A410" s="396"/>
      <c r="B410" s="551" t="s">
        <v>140</v>
      </c>
      <c r="C410" s="396" t="s">
        <v>43</v>
      </c>
      <c r="D410" s="397">
        <v>1</v>
      </c>
      <c r="E410" s="897">
        <f>+E395</f>
        <v>0</v>
      </c>
      <c r="F410" s="898">
        <f t="shared" si="42"/>
        <v>0</v>
      </c>
      <c r="G410" s="171"/>
      <c r="H410" s="57"/>
      <c r="I410" s="57"/>
      <c r="J410" s="57"/>
      <c r="K410" s="50"/>
      <c r="P410" s="576"/>
      <c r="Q410" s="672"/>
      <c r="R410" s="672"/>
      <c r="S410" s="1930" t="s">
        <v>272</v>
      </c>
      <c r="T410" s="996">
        <v>1</v>
      </c>
      <c r="U410" s="997">
        <v>0.81</v>
      </c>
      <c r="V410" s="159">
        <v>1.1000000000000001</v>
      </c>
      <c r="W410" s="1147">
        <v>0.17</v>
      </c>
      <c r="X410" s="1147">
        <f t="shared" si="41"/>
        <v>0.15147000000000002</v>
      </c>
      <c r="Y410" s="728"/>
      <c r="Z410" s="171"/>
      <c r="AA410" s="1218"/>
      <c r="AB410" s="1217"/>
    </row>
    <row r="411" spans="1:28" ht="18.75" customHeight="1" thickBot="1">
      <c r="A411" s="1421"/>
      <c r="B411" s="1416"/>
      <c r="C411" s="1421"/>
      <c r="D411" s="1422"/>
      <c r="E411" s="1421"/>
      <c r="F411" s="1423"/>
      <c r="G411" s="171"/>
      <c r="I411" s="57"/>
      <c r="J411" s="57"/>
      <c r="K411" s="50"/>
      <c r="S411" s="1930"/>
      <c r="T411" s="996">
        <v>1</v>
      </c>
      <c r="U411" s="997">
        <v>0.69</v>
      </c>
      <c r="V411" s="159">
        <v>1.1000000000000001</v>
      </c>
      <c r="W411" s="1147">
        <v>0.17</v>
      </c>
      <c r="X411" s="1147">
        <f t="shared" si="41"/>
        <v>0.12903000000000001</v>
      </c>
      <c r="Y411" s="1219" t="s">
        <v>403</v>
      </c>
      <c r="Z411" s="728"/>
      <c r="AA411" s="728"/>
      <c r="AB411" s="1217"/>
    </row>
    <row r="412" spans="1:28" ht="16.5" thickBot="1">
      <c r="A412" s="1267" t="s">
        <v>5</v>
      </c>
      <c r="B412" s="1268"/>
      <c r="C412" s="1268"/>
      <c r="D412" s="1268"/>
      <c r="E412" s="1269"/>
      <c r="F412" s="1424">
        <f>ROUND(SUM(F401:F410),0)</f>
        <v>0</v>
      </c>
      <c r="G412" s="171"/>
      <c r="I412" s="57"/>
      <c r="J412" s="57"/>
      <c r="K412" s="50"/>
      <c r="S412" s="1930"/>
      <c r="T412" s="996">
        <v>1</v>
      </c>
      <c r="U412" s="997">
        <v>0.6</v>
      </c>
      <c r="V412" s="159">
        <v>0.3</v>
      </c>
      <c r="W412" s="1147">
        <v>0.17</v>
      </c>
      <c r="X412" s="1147">
        <f t="shared" si="41"/>
        <v>3.0600000000000002E-2</v>
      </c>
      <c r="Y412" s="1220">
        <f>+W401+W402</f>
        <v>4.8</v>
      </c>
      <c r="Z412" s="728"/>
      <c r="AA412" s="728"/>
      <c r="AB412" s="728"/>
    </row>
    <row r="413" spans="1:28" ht="21" customHeight="1">
      <c r="A413" s="1227"/>
      <c r="B413" s="1227"/>
      <c r="C413" s="1227"/>
      <c r="D413" s="1227"/>
      <c r="E413" s="1227"/>
      <c r="F413" s="916"/>
      <c r="G413" s="171"/>
      <c r="I413" s="57"/>
      <c r="J413" s="57"/>
      <c r="K413" s="50"/>
      <c r="S413" s="1182" t="s">
        <v>273</v>
      </c>
      <c r="T413" s="996">
        <v>-1</v>
      </c>
      <c r="U413" s="160">
        <f>+(PI()*0.6*0.6)/4</f>
        <v>0.28274333882308139</v>
      </c>
      <c r="V413" s="161"/>
      <c r="W413" s="1147">
        <v>0.17</v>
      </c>
      <c r="X413" s="1147">
        <f t="shared" si="41"/>
        <v>-4.8066367599923839E-2</v>
      </c>
      <c r="Y413" s="728"/>
      <c r="Z413" s="728"/>
      <c r="AA413" s="728"/>
      <c r="AB413" s="728"/>
    </row>
    <row r="414" spans="1:28" ht="16.5" thickBot="1">
      <c r="A414" s="1227"/>
      <c r="B414" s="1227"/>
      <c r="C414" s="1227"/>
      <c r="D414" s="1227"/>
      <c r="E414" s="1227"/>
      <c r="F414" s="1195"/>
      <c r="G414" s="171"/>
      <c r="I414" s="57"/>
      <c r="J414" s="57"/>
      <c r="K414" s="50"/>
      <c r="S414" s="1183" t="s">
        <v>223</v>
      </c>
      <c r="T414" s="1184"/>
      <c r="U414" s="1184"/>
      <c r="V414" s="1184"/>
      <c r="W414" s="1185"/>
      <c r="X414" s="1186">
        <f>SUM(X401:X413)</f>
        <v>9.1067336324000738</v>
      </c>
      <c r="Y414" s="728"/>
      <c r="Z414" s="728"/>
      <c r="AA414" s="728"/>
      <c r="AB414" s="728"/>
    </row>
    <row r="415" spans="1:28" ht="28.5" customHeight="1" thickBot="1">
      <c r="A415" s="818"/>
      <c r="B415" s="1816" t="s">
        <v>561</v>
      </c>
      <c r="C415" s="1817"/>
      <c r="D415" s="1817"/>
      <c r="E415" s="1817"/>
      <c r="F415" s="562" t="s">
        <v>214</v>
      </c>
      <c r="G415" s="171"/>
      <c r="I415" s="57"/>
      <c r="J415" s="57"/>
      <c r="K415" s="50"/>
      <c r="S415" s="1214"/>
      <c r="T415" s="728"/>
      <c r="U415" s="728"/>
      <c r="V415" s="728"/>
      <c r="W415" s="728"/>
      <c r="X415" s="728"/>
      <c r="Y415" s="728"/>
      <c r="Z415" s="728"/>
      <c r="AA415" s="728"/>
      <c r="AB415" s="728"/>
    </row>
    <row r="416" spans="1:28" ht="15.75">
      <c r="A416" s="387" t="s">
        <v>435</v>
      </c>
      <c r="B416" s="388" t="s">
        <v>7</v>
      </c>
      <c r="C416" s="389" t="s">
        <v>0</v>
      </c>
      <c r="D416" s="656" t="s">
        <v>8</v>
      </c>
      <c r="E416" s="389" t="s">
        <v>2</v>
      </c>
      <c r="F416" s="547" t="s">
        <v>9</v>
      </c>
      <c r="G416" s="171"/>
      <c r="I416" s="57"/>
      <c r="J416" s="57"/>
      <c r="K416" s="50"/>
      <c r="S416" s="1835" t="s">
        <v>556</v>
      </c>
      <c r="T416" s="1835"/>
      <c r="U416" s="1835"/>
      <c r="V416" s="1835"/>
      <c r="W416" s="1835"/>
      <c r="X416" s="1835"/>
      <c r="Y416" s="1835"/>
      <c r="Z416" s="1835"/>
      <c r="AA416" s="1835"/>
      <c r="AB416" s="1835"/>
    </row>
    <row r="417" spans="1:28" ht="15.75">
      <c r="A417" s="390"/>
      <c r="B417" s="348" t="s">
        <v>159</v>
      </c>
      <c r="C417" s="657" t="s">
        <v>80</v>
      </c>
      <c r="D417" s="894">
        <v>4</v>
      </c>
      <c r="E417" s="897">
        <f>+E401</f>
        <v>0</v>
      </c>
      <c r="F417" s="898">
        <f>+ROUND(E417*D417,0)</f>
        <v>0</v>
      </c>
      <c r="G417" s="171"/>
      <c r="I417" s="57"/>
      <c r="J417" s="57"/>
      <c r="K417" s="50"/>
      <c r="S417" s="1929" t="s">
        <v>120</v>
      </c>
      <c r="T417" s="1929"/>
      <c r="U417" s="1929"/>
      <c r="V417" s="1208" t="s">
        <v>254</v>
      </c>
      <c r="W417" s="1188" t="s">
        <v>275</v>
      </c>
      <c r="X417" s="1189" t="s">
        <v>276</v>
      </c>
      <c r="Y417" s="1189" t="s">
        <v>277</v>
      </c>
      <c r="Z417" s="1188" t="s">
        <v>224</v>
      </c>
      <c r="AA417" s="1188" t="s">
        <v>222</v>
      </c>
      <c r="AB417" s="1188" t="s">
        <v>486</v>
      </c>
    </row>
    <row r="418" spans="1:28" ht="15.75">
      <c r="A418" s="390"/>
      <c r="B418" s="348" t="s">
        <v>160</v>
      </c>
      <c r="C418" s="607" t="s">
        <v>3</v>
      </c>
      <c r="D418" s="894">
        <f>2*0.2</f>
        <v>0.4</v>
      </c>
      <c r="E418" s="897">
        <f>+E402</f>
        <v>0</v>
      </c>
      <c r="F418" s="898">
        <f t="shared" ref="F418:F426" si="43">+ROUND(E418*D418,0)</f>
        <v>0</v>
      </c>
      <c r="G418" s="171"/>
      <c r="I418" s="57"/>
      <c r="J418" s="57"/>
      <c r="K418" s="50"/>
      <c r="S418" s="1924" t="s">
        <v>278</v>
      </c>
      <c r="T418" s="1925"/>
      <c r="U418" s="1188" t="s">
        <v>279</v>
      </c>
      <c r="V418" s="1191">
        <f>2.35+0.09+0.45</f>
        <v>2.89</v>
      </c>
      <c r="W418" s="1191">
        <f>ROUND((3.9/0.2),0)</f>
        <v>20</v>
      </c>
      <c r="X418" s="1191">
        <v>2</v>
      </c>
      <c r="Y418" s="1191">
        <f t="shared" ref="Y418:Y426" si="44">+PRODUCT(V418:X418)</f>
        <v>115.60000000000001</v>
      </c>
      <c r="Z418" s="1006" t="s">
        <v>243</v>
      </c>
      <c r="AA418" s="1006">
        <v>1.552</v>
      </c>
      <c r="AB418" s="1182">
        <f t="shared" ref="AB418:AB431" si="45">+Y418*AA418</f>
        <v>179.41120000000001</v>
      </c>
    </row>
    <row r="419" spans="1:28" ht="15.75">
      <c r="A419" s="390"/>
      <c r="B419" s="348" t="s">
        <v>150</v>
      </c>
      <c r="C419" s="398" t="s">
        <v>40</v>
      </c>
      <c r="D419" s="684">
        <f>2*0.15*0.3</f>
        <v>0.09</v>
      </c>
      <c r="E419" s="863">
        <f>+E403</f>
        <v>0</v>
      </c>
      <c r="F419" s="898">
        <f t="shared" si="43"/>
        <v>0</v>
      </c>
      <c r="G419" s="171"/>
      <c r="I419" s="57"/>
      <c r="J419" s="57"/>
      <c r="K419" s="50"/>
      <c r="S419" s="1926"/>
      <c r="T419" s="1927"/>
      <c r="U419" s="1188" t="s">
        <v>280</v>
      </c>
      <c r="V419" s="1191">
        <f>3.9-0.1</f>
        <v>3.8</v>
      </c>
      <c r="W419" s="1191">
        <f>ROUND((2.19/0.2),0)</f>
        <v>11</v>
      </c>
      <c r="X419" s="1191">
        <v>2</v>
      </c>
      <c r="Y419" s="1191">
        <f t="shared" si="44"/>
        <v>83.6</v>
      </c>
      <c r="Z419" s="1006" t="s">
        <v>227</v>
      </c>
      <c r="AA419" s="1006">
        <v>0.99399999999999999</v>
      </c>
      <c r="AB419" s="1182">
        <f t="shared" si="45"/>
        <v>83.098399999999998</v>
      </c>
    </row>
    <row r="420" spans="1:28" ht="15.75">
      <c r="A420" s="390"/>
      <c r="B420" s="348" t="s">
        <v>135</v>
      </c>
      <c r="C420" s="398" t="s">
        <v>40</v>
      </c>
      <c r="D420" s="684">
        <f>D418*0.12+(2*0.1*0.15)</f>
        <v>7.8E-2</v>
      </c>
      <c r="E420" s="863">
        <f>+E404</f>
        <v>0</v>
      </c>
      <c r="F420" s="898">
        <f t="shared" si="43"/>
        <v>0</v>
      </c>
      <c r="G420" s="171"/>
      <c r="I420" s="57"/>
      <c r="J420" s="57"/>
      <c r="K420" s="50"/>
      <c r="S420" s="1924" t="s">
        <v>281</v>
      </c>
      <c r="T420" s="1925"/>
      <c r="U420" s="1188" t="s">
        <v>279</v>
      </c>
      <c r="V420" s="1191">
        <f>2.35+0.09+0.45</f>
        <v>2.89</v>
      </c>
      <c r="W420" s="1191">
        <f>ROUND((2.9/0.2),0)</f>
        <v>15</v>
      </c>
      <c r="X420" s="1191">
        <v>2</v>
      </c>
      <c r="Y420" s="1191">
        <f t="shared" si="44"/>
        <v>86.7</v>
      </c>
      <c r="Z420" s="1006" t="s">
        <v>243</v>
      </c>
      <c r="AA420" s="1006">
        <v>1.552</v>
      </c>
      <c r="AB420" s="1182">
        <f t="shared" si="45"/>
        <v>134.55840000000001</v>
      </c>
    </row>
    <row r="421" spans="1:28" ht="15.75">
      <c r="A421" s="390"/>
      <c r="B421" s="348" t="s">
        <v>83</v>
      </c>
      <c r="C421" s="398" t="s">
        <v>40</v>
      </c>
      <c r="D421" s="684">
        <f>+D420</f>
        <v>7.8E-2</v>
      </c>
      <c r="E421" s="863">
        <f>+E405</f>
        <v>0</v>
      </c>
      <c r="F421" s="898">
        <f t="shared" si="43"/>
        <v>0</v>
      </c>
      <c r="G421" s="171"/>
      <c r="I421" s="57"/>
      <c r="J421" s="57"/>
      <c r="K421" s="50"/>
      <c r="S421" s="1926"/>
      <c r="T421" s="1927"/>
      <c r="U421" s="1188" t="s">
        <v>280</v>
      </c>
      <c r="V421" s="1191">
        <f>2.9-0.1</f>
        <v>2.8</v>
      </c>
      <c r="W421" s="1191">
        <f>ROUND((2.19/0.2),0)</f>
        <v>11</v>
      </c>
      <c r="X421" s="1191">
        <v>2</v>
      </c>
      <c r="Y421" s="1191">
        <f t="shared" si="44"/>
        <v>61.599999999999994</v>
      </c>
      <c r="Z421" s="1006" t="s">
        <v>227</v>
      </c>
      <c r="AA421" s="1006">
        <v>0.99399999999999999</v>
      </c>
      <c r="AB421" s="1182">
        <f t="shared" si="45"/>
        <v>61.230399999999996</v>
      </c>
    </row>
    <row r="422" spans="1:28" ht="25.5" customHeight="1">
      <c r="A422" s="390"/>
      <c r="B422" s="348" t="s">
        <v>177</v>
      </c>
      <c r="C422" s="396" t="s">
        <v>40</v>
      </c>
      <c r="D422" s="684">
        <f>0.15*0.1*2</f>
        <v>0.03</v>
      </c>
      <c r="E422" s="863"/>
      <c r="F422" s="898">
        <f t="shared" si="43"/>
        <v>0</v>
      </c>
      <c r="G422" s="171"/>
      <c r="I422" s="57"/>
      <c r="J422" s="57"/>
      <c r="K422" s="50"/>
      <c r="S422" s="1924" t="s">
        <v>557</v>
      </c>
      <c r="T422" s="1925"/>
      <c r="U422" s="1188" t="s">
        <v>279</v>
      </c>
      <c r="V422" s="1221">
        <v>2.8</v>
      </c>
      <c r="W422" s="1222">
        <v>3</v>
      </c>
      <c r="X422" s="1222"/>
      <c r="Y422" s="1222">
        <f t="shared" si="44"/>
        <v>8.3999999999999986</v>
      </c>
      <c r="Z422" s="1006" t="s">
        <v>243</v>
      </c>
      <c r="AA422" s="1006">
        <v>1.552</v>
      </c>
      <c r="AB422" s="1182">
        <f t="shared" si="45"/>
        <v>13.036799999999998</v>
      </c>
    </row>
    <row r="423" spans="1:28" ht="18.75" customHeight="1">
      <c r="A423" s="390"/>
      <c r="B423" s="348" t="s">
        <v>161</v>
      </c>
      <c r="C423" s="398" t="s">
        <v>40</v>
      </c>
      <c r="D423" s="684">
        <f>+D418*0.1</f>
        <v>4.0000000000000008E-2</v>
      </c>
      <c r="E423" s="863">
        <f>+E407</f>
        <v>0</v>
      </c>
      <c r="F423" s="898">
        <f t="shared" si="43"/>
        <v>0</v>
      </c>
      <c r="G423" s="171"/>
      <c r="I423" s="57"/>
      <c r="J423" s="57"/>
      <c r="K423" s="50"/>
      <c r="S423" s="1926"/>
      <c r="T423" s="1927"/>
      <c r="U423" s="1188" t="s">
        <v>280</v>
      </c>
      <c r="V423" s="1182">
        <v>3.8</v>
      </c>
      <c r="W423" s="1191">
        <v>3</v>
      </c>
      <c r="X423" s="1223"/>
      <c r="Y423" s="1191">
        <f t="shared" si="44"/>
        <v>11.399999999999999</v>
      </c>
      <c r="Z423" s="1006" t="s">
        <v>243</v>
      </c>
      <c r="AA423" s="1006">
        <v>1.552</v>
      </c>
      <c r="AB423" s="1182">
        <f t="shared" si="45"/>
        <v>17.692799999999998</v>
      </c>
    </row>
    <row r="424" spans="1:28" ht="18" customHeight="1">
      <c r="A424" s="390"/>
      <c r="B424" s="348" t="s">
        <v>414</v>
      </c>
      <c r="C424" s="398" t="s">
        <v>22</v>
      </c>
      <c r="D424" s="684">
        <f>+D418</f>
        <v>0.4</v>
      </c>
      <c r="E424" s="863">
        <f>+E408</f>
        <v>0</v>
      </c>
      <c r="F424" s="898">
        <f t="shared" si="43"/>
        <v>0</v>
      </c>
      <c r="G424" s="171"/>
      <c r="I424" s="57"/>
      <c r="J424" s="57"/>
      <c r="K424" s="50"/>
      <c r="S424" s="1924" t="s">
        <v>283</v>
      </c>
      <c r="T424" s="1925"/>
      <c r="U424" s="1188" t="s">
        <v>279</v>
      </c>
      <c r="V424" s="1191">
        <f>2.9-0.1</f>
        <v>2.8</v>
      </c>
      <c r="W424" s="1191">
        <f>ROUND(((2.9-1.2)/0.2),0)</f>
        <v>9</v>
      </c>
      <c r="X424" s="1191"/>
      <c r="Y424" s="1191">
        <f t="shared" si="44"/>
        <v>25.2</v>
      </c>
      <c r="Z424" s="1006" t="s">
        <v>227</v>
      </c>
      <c r="AA424" s="1006">
        <v>0.99399999999999999</v>
      </c>
      <c r="AB424" s="1182">
        <f t="shared" si="45"/>
        <v>25.0488</v>
      </c>
    </row>
    <row r="425" spans="1:28" ht="15.75">
      <c r="A425" s="396"/>
      <c r="B425" s="348" t="s">
        <v>434</v>
      </c>
      <c r="C425" s="396" t="s">
        <v>80</v>
      </c>
      <c r="D425" s="895">
        <v>2</v>
      </c>
      <c r="E425" s="897">
        <f>+O313</f>
        <v>0</v>
      </c>
      <c r="F425" s="898">
        <f t="shared" si="43"/>
        <v>0</v>
      </c>
      <c r="G425" s="171"/>
      <c r="I425" s="57"/>
      <c r="J425" s="57"/>
      <c r="K425" s="50"/>
      <c r="S425" s="1926"/>
      <c r="T425" s="1927"/>
      <c r="U425" s="1188" t="s">
        <v>280</v>
      </c>
      <c r="V425" s="1191">
        <f>3.9-0.1</f>
        <v>3.8</v>
      </c>
      <c r="W425" s="1191">
        <f>ROUND(((3.9-1.2)/0.2),0)</f>
        <v>14</v>
      </c>
      <c r="X425" s="1191"/>
      <c r="Y425" s="1191">
        <f t="shared" si="44"/>
        <v>53.199999999999996</v>
      </c>
      <c r="Z425" s="1006" t="s">
        <v>227</v>
      </c>
      <c r="AA425" s="1006">
        <v>0.99399999999999999</v>
      </c>
      <c r="AB425" s="1182">
        <f t="shared" si="45"/>
        <v>52.880799999999994</v>
      </c>
    </row>
    <row r="426" spans="1:28" ht="16.5" customHeight="1">
      <c r="A426" s="396"/>
      <c r="B426" s="1415" t="s">
        <v>140</v>
      </c>
      <c r="C426" s="396" t="s">
        <v>0</v>
      </c>
      <c r="D426" s="397">
        <v>1</v>
      </c>
      <c r="E426" s="897">
        <f>+E410</f>
        <v>0</v>
      </c>
      <c r="F426" s="898">
        <f t="shared" si="43"/>
        <v>0</v>
      </c>
      <c r="G426" s="171"/>
      <c r="I426" s="57"/>
      <c r="J426" s="57"/>
      <c r="K426" s="50"/>
      <c r="S426" s="1928" t="s">
        <v>284</v>
      </c>
      <c r="T426" s="1929" t="s">
        <v>285</v>
      </c>
      <c r="U426" s="1224" t="s">
        <v>286</v>
      </c>
      <c r="V426" s="1225">
        <f>(3.9-0.1)+(2.9-0.1)</f>
        <v>6.6</v>
      </c>
      <c r="W426" s="1226">
        <v>4</v>
      </c>
      <c r="X426" s="1226">
        <v>2</v>
      </c>
      <c r="Y426" s="1191">
        <f t="shared" si="44"/>
        <v>52.8</v>
      </c>
      <c r="Z426" s="1006" t="s">
        <v>227</v>
      </c>
      <c r="AA426" s="1006">
        <v>0.99399999999999999</v>
      </c>
      <c r="AB426" s="1192">
        <f t="shared" si="45"/>
        <v>52.483199999999997</v>
      </c>
    </row>
    <row r="427" spans="1:28" ht="15.75">
      <c r="A427" s="809"/>
      <c r="B427" s="810"/>
      <c r="C427" s="809"/>
      <c r="D427" s="888"/>
      <c r="E427" s="809"/>
      <c r="F427" s="811"/>
      <c r="G427" s="171"/>
      <c r="H427" s="136"/>
      <c r="I427" s="57"/>
      <c r="J427" s="57"/>
      <c r="K427" s="50"/>
      <c r="S427" s="1928"/>
      <c r="T427" s="1929"/>
      <c r="U427" s="1224" t="s">
        <v>287</v>
      </c>
      <c r="V427" s="1225">
        <f>+(0.12+0.17+0.1)*2</f>
        <v>0.78</v>
      </c>
      <c r="W427" s="1226">
        <f>+ROUNDUP((3.9/3)*2*2,0)</f>
        <v>6</v>
      </c>
      <c r="X427" s="1226">
        <f>+ROUNDUP((2.9/3)*2*2,0)</f>
        <v>4</v>
      </c>
      <c r="Y427" s="1191">
        <f>+V427*(W427+X427)</f>
        <v>7.8000000000000007</v>
      </c>
      <c r="Z427" s="1006" t="s">
        <v>240</v>
      </c>
      <c r="AA427" s="1006">
        <v>0.56000000000000005</v>
      </c>
      <c r="AB427" s="1192">
        <f t="shared" si="45"/>
        <v>4.3680000000000012</v>
      </c>
    </row>
    <row r="428" spans="1:28" ht="16.5" thickBot="1">
      <c r="A428" s="1317" t="s">
        <v>5</v>
      </c>
      <c r="B428" s="1318"/>
      <c r="C428" s="1318"/>
      <c r="D428" s="1318"/>
      <c r="E428" s="1319"/>
      <c r="F428" s="911">
        <f>ROUND(SUM(F417:F426),0)</f>
        <v>0</v>
      </c>
      <c r="G428" s="171"/>
      <c r="I428" s="57"/>
      <c r="J428" s="57"/>
      <c r="K428" s="50"/>
      <c r="S428" s="1928"/>
      <c r="T428" s="1929"/>
      <c r="U428" s="1224" t="s">
        <v>288</v>
      </c>
      <c r="V428" s="1225">
        <f>+(0.12+0.17+0.1)*2</f>
        <v>0.78</v>
      </c>
      <c r="W428" s="1226">
        <f>+ROUNDUP((3.9/3)*2,0)</f>
        <v>3</v>
      </c>
      <c r="X428" s="1226">
        <f>+ROUNDUP((2.9/3)*2,0)</f>
        <v>2</v>
      </c>
      <c r="Y428" s="1191">
        <f>+V428*(W428+X428)</f>
        <v>3.9000000000000004</v>
      </c>
      <c r="Z428" s="1006" t="s">
        <v>240</v>
      </c>
      <c r="AA428" s="1006">
        <v>0.56000000000000005</v>
      </c>
      <c r="AB428" s="1192">
        <f t="shared" si="45"/>
        <v>2.1840000000000006</v>
      </c>
    </row>
    <row r="429" spans="1:28" ht="15.75">
      <c r="A429" s="1316"/>
      <c r="B429" s="1316"/>
      <c r="C429" s="1316"/>
      <c r="D429" s="1316"/>
      <c r="E429" s="1316"/>
      <c r="F429" s="916"/>
      <c r="G429" s="171"/>
      <c r="I429" s="57"/>
      <c r="J429" s="57"/>
      <c r="K429" s="50"/>
      <c r="S429" s="1928"/>
      <c r="T429" s="1929" t="s">
        <v>289</v>
      </c>
      <c r="U429" s="1224" t="s">
        <v>286</v>
      </c>
      <c r="V429" s="1225">
        <f>+(2.9-0.1)+(1.5-0.1)*2</f>
        <v>5.6</v>
      </c>
      <c r="W429" s="1226">
        <v>4</v>
      </c>
      <c r="X429" s="1226"/>
      <c r="Y429" s="1191">
        <f>+PRODUCT(V429:X429)</f>
        <v>22.4</v>
      </c>
      <c r="Z429" s="1006" t="s">
        <v>243</v>
      </c>
      <c r="AA429" s="1006">
        <v>1.552</v>
      </c>
      <c r="AB429" s="1192">
        <f t="shared" si="45"/>
        <v>34.764800000000001</v>
      </c>
    </row>
    <row r="430" spans="1:28" ht="16.5" thickBot="1">
      <c r="A430" s="1227"/>
      <c r="B430" s="1227"/>
      <c r="C430" s="1227"/>
      <c r="D430" s="1227"/>
      <c r="E430" s="1227"/>
      <c r="F430" s="916"/>
      <c r="G430" s="171"/>
      <c r="I430" s="57"/>
      <c r="J430" s="57"/>
      <c r="K430" s="50"/>
      <c r="S430" s="1928"/>
      <c r="T430" s="1929"/>
      <c r="U430" s="1224" t="s">
        <v>287</v>
      </c>
      <c r="V430" s="1225">
        <f>+(0.12+0.17+0.1)*2</f>
        <v>0.78</v>
      </c>
      <c r="W430" s="1226">
        <f>+ROUNDUP((2.9/3)*2*1,0)</f>
        <v>2</v>
      </c>
      <c r="X430" s="1226">
        <f>+ROUNDUP((1.1/3)*2*2,0)</f>
        <v>2</v>
      </c>
      <c r="Y430" s="1191">
        <f>+V430*(W430+X430)</f>
        <v>3.12</v>
      </c>
      <c r="Z430" s="1006" t="s">
        <v>240</v>
      </c>
      <c r="AA430" s="1006">
        <v>0.56000000000000005</v>
      </c>
      <c r="AB430" s="1192">
        <f t="shared" si="45"/>
        <v>1.7472000000000003</v>
      </c>
    </row>
    <row r="431" spans="1:28" ht="27" customHeight="1" thickBot="1">
      <c r="A431" s="818"/>
      <c r="B431" s="1816" t="s">
        <v>560</v>
      </c>
      <c r="C431" s="1817"/>
      <c r="D431" s="1817"/>
      <c r="E431" s="1817"/>
      <c r="F431" s="562" t="s">
        <v>214</v>
      </c>
      <c r="G431" s="171"/>
      <c r="I431" s="57"/>
      <c r="J431" s="57"/>
      <c r="K431" s="50"/>
      <c r="S431" s="1928"/>
      <c r="T431" s="1929"/>
      <c r="U431" s="1224" t="s">
        <v>288</v>
      </c>
      <c r="V431" s="1225">
        <f>+(0.12+0.17+0.1)*2</f>
        <v>0.78</v>
      </c>
      <c r="W431" s="1226">
        <f>+ROUNDUP((2.9/3)*1,0)</f>
        <v>1</v>
      </c>
      <c r="X431" s="1226">
        <f>+ROUNDUP((1.1/3)*2,0)</f>
        <v>1</v>
      </c>
      <c r="Y431" s="1191">
        <f>+V431*(W431+X431)</f>
        <v>1.56</v>
      </c>
      <c r="Z431" s="1006" t="s">
        <v>240</v>
      </c>
      <c r="AA431" s="1006">
        <v>0.56000000000000005</v>
      </c>
      <c r="AB431" s="1192">
        <f t="shared" si="45"/>
        <v>0.87360000000000015</v>
      </c>
    </row>
    <row r="432" spans="1:28" ht="15.75">
      <c r="A432" s="387" t="s">
        <v>438</v>
      </c>
      <c r="B432" s="388" t="s">
        <v>7</v>
      </c>
      <c r="C432" s="389" t="s">
        <v>0</v>
      </c>
      <c r="D432" s="656" t="s">
        <v>8</v>
      </c>
      <c r="E432" s="389" t="s">
        <v>2</v>
      </c>
      <c r="F432" s="547" t="s">
        <v>9</v>
      </c>
      <c r="G432" s="171"/>
      <c r="I432" s="57"/>
      <c r="J432" s="57"/>
      <c r="K432" s="50"/>
      <c r="S432" s="1835" t="s">
        <v>223</v>
      </c>
      <c r="T432" s="1835"/>
      <c r="U432" s="1835"/>
      <c r="V432" s="1835"/>
      <c r="W432" s="1835"/>
      <c r="X432" s="1835"/>
      <c r="Y432" s="1835"/>
      <c r="Z432" s="1835"/>
      <c r="AA432" s="1835"/>
      <c r="AB432" s="1186">
        <f>+SUM(AB418:AB431)</f>
        <v>663.37840000000006</v>
      </c>
    </row>
    <row r="433" spans="1:23" ht="23.25" customHeight="1">
      <c r="A433" s="390"/>
      <c r="B433" s="348" t="s">
        <v>159</v>
      </c>
      <c r="C433" s="398" t="s">
        <v>80</v>
      </c>
      <c r="D433" s="894">
        <v>5</v>
      </c>
      <c r="E433" s="897">
        <f>+E417</f>
        <v>0</v>
      </c>
      <c r="F433" s="898">
        <f>+ROUND(E433*D433,0)</f>
        <v>0</v>
      </c>
      <c r="G433" s="171"/>
      <c r="I433" s="57"/>
      <c r="J433" s="57"/>
      <c r="K433" s="50"/>
      <c r="V433" s="57"/>
      <c r="W433" s="57"/>
    </row>
    <row r="434" spans="1:23" ht="20.25" customHeight="1">
      <c r="A434" s="390"/>
      <c r="B434" s="348" t="s">
        <v>160</v>
      </c>
      <c r="C434" s="657" t="s">
        <v>3</v>
      </c>
      <c r="D434" s="894">
        <f>5*0.2</f>
        <v>1</v>
      </c>
      <c r="E434" s="897">
        <f>+E418</f>
        <v>0</v>
      </c>
      <c r="F434" s="898">
        <f t="shared" ref="F434:F442" si="46">+ROUND(E434*D434,0)</f>
        <v>0</v>
      </c>
      <c r="G434" s="171"/>
      <c r="I434" s="57"/>
      <c r="J434" s="57"/>
      <c r="K434" s="50"/>
      <c r="V434" s="57"/>
      <c r="W434" s="57"/>
    </row>
    <row r="435" spans="1:23">
      <c r="A435" s="390"/>
      <c r="B435" s="348" t="s">
        <v>150</v>
      </c>
      <c r="C435" s="398" t="s">
        <v>40</v>
      </c>
      <c r="D435" s="684">
        <f>5*0.15*0.3</f>
        <v>0.22499999999999998</v>
      </c>
      <c r="E435" s="863">
        <f>+E419</f>
        <v>0</v>
      </c>
      <c r="F435" s="898">
        <f t="shared" si="46"/>
        <v>0</v>
      </c>
      <c r="G435" s="171"/>
      <c r="I435" s="57"/>
      <c r="J435" s="57"/>
      <c r="K435" s="50"/>
      <c r="V435" s="57"/>
    </row>
    <row r="436" spans="1:23">
      <c r="A436" s="390"/>
      <c r="B436" s="348" t="s">
        <v>135</v>
      </c>
      <c r="C436" s="398" t="s">
        <v>40</v>
      </c>
      <c r="D436" s="684">
        <f>D434*0.12+(5*0.1*0.15)</f>
        <v>0.19500000000000001</v>
      </c>
      <c r="E436" s="863">
        <f>+E420</f>
        <v>0</v>
      </c>
      <c r="F436" s="898">
        <f t="shared" si="46"/>
        <v>0</v>
      </c>
      <c r="G436" s="171"/>
      <c r="I436" s="57"/>
      <c r="J436" s="57"/>
      <c r="K436" s="50"/>
    </row>
    <row r="437" spans="1:23">
      <c r="A437" s="390"/>
      <c r="B437" s="348" t="s">
        <v>83</v>
      </c>
      <c r="C437" s="398" t="s">
        <v>40</v>
      </c>
      <c r="D437" s="684">
        <f>+D436</f>
        <v>0.19500000000000001</v>
      </c>
      <c r="E437" s="863">
        <f>+E421</f>
        <v>0</v>
      </c>
      <c r="F437" s="898">
        <f t="shared" si="46"/>
        <v>0</v>
      </c>
      <c r="G437" s="171"/>
      <c r="I437" s="57"/>
      <c r="J437" s="57"/>
      <c r="K437" s="50"/>
      <c r="L437" s="50"/>
      <c r="M437" s="57"/>
      <c r="N437" s="50"/>
      <c r="O437" s="57"/>
    </row>
    <row r="438" spans="1:23">
      <c r="A438" s="390"/>
      <c r="B438" s="348" t="s">
        <v>177</v>
      </c>
      <c r="C438" s="396" t="s">
        <v>40</v>
      </c>
      <c r="D438" s="684">
        <f>0.15*0.1*5</f>
        <v>7.4999999999999997E-2</v>
      </c>
      <c r="E438" s="863"/>
      <c r="F438" s="898">
        <f t="shared" si="46"/>
        <v>0</v>
      </c>
      <c r="G438" s="171"/>
      <c r="I438" s="57"/>
      <c r="J438" s="50"/>
      <c r="K438" s="50"/>
      <c r="L438" s="50"/>
      <c r="M438" s="50"/>
      <c r="N438" s="50"/>
      <c r="O438" s="50"/>
    </row>
    <row r="439" spans="1:23">
      <c r="A439" s="390"/>
      <c r="B439" s="348" t="s">
        <v>161</v>
      </c>
      <c r="C439" s="398" t="s">
        <v>40</v>
      </c>
      <c r="D439" s="684">
        <f>+D434*0.1</f>
        <v>0.1</v>
      </c>
      <c r="E439" s="863">
        <f>+E423</f>
        <v>0</v>
      </c>
      <c r="F439" s="898">
        <f t="shared" si="46"/>
        <v>0</v>
      </c>
      <c r="G439" s="171"/>
      <c r="I439" s="57"/>
      <c r="J439" s="50"/>
      <c r="K439" s="50"/>
      <c r="L439" s="50"/>
      <c r="M439" s="50"/>
      <c r="N439" s="50"/>
      <c r="O439" s="50"/>
    </row>
    <row r="440" spans="1:23" ht="30">
      <c r="A440" s="390"/>
      <c r="B440" s="348" t="s">
        <v>414</v>
      </c>
      <c r="C440" s="396" t="s">
        <v>80</v>
      </c>
      <c r="D440" s="684">
        <f>+D434</f>
        <v>1</v>
      </c>
      <c r="E440" s="863">
        <f>+E424</f>
        <v>0</v>
      </c>
      <c r="F440" s="898">
        <f t="shared" si="46"/>
        <v>0</v>
      </c>
      <c r="G440" s="171"/>
      <c r="I440" s="57"/>
      <c r="J440" s="50"/>
      <c r="K440" s="50"/>
      <c r="L440" s="50"/>
      <c r="M440" s="50"/>
      <c r="N440" s="50"/>
      <c r="O440" s="50"/>
    </row>
    <row r="441" spans="1:23" ht="16.5" customHeight="1">
      <c r="A441" s="396"/>
      <c r="B441" s="348" t="s">
        <v>434</v>
      </c>
      <c r="C441" s="657" t="s">
        <v>3</v>
      </c>
      <c r="D441" s="895">
        <v>5</v>
      </c>
      <c r="E441" s="863">
        <f>+E425</f>
        <v>0</v>
      </c>
      <c r="F441" s="898">
        <f t="shared" si="46"/>
        <v>0</v>
      </c>
      <c r="G441" s="171"/>
      <c r="I441" s="57"/>
      <c r="J441" s="50"/>
      <c r="K441" s="50"/>
      <c r="L441" s="50"/>
      <c r="M441" s="50"/>
      <c r="N441" s="50"/>
      <c r="O441" s="50"/>
    </row>
    <row r="442" spans="1:23">
      <c r="A442" s="396"/>
      <c r="B442" s="1415" t="s">
        <v>140</v>
      </c>
      <c r="C442" s="396" t="s">
        <v>0</v>
      </c>
      <c r="D442" s="397">
        <v>1</v>
      </c>
      <c r="E442" s="897">
        <f>+E426</f>
        <v>0</v>
      </c>
      <c r="F442" s="898">
        <f t="shared" si="46"/>
        <v>0</v>
      </c>
      <c r="G442" s="171"/>
      <c r="I442" s="57"/>
      <c r="J442" s="50"/>
      <c r="K442" s="50"/>
      <c r="L442" s="50"/>
      <c r="M442" s="50"/>
      <c r="N442" s="50"/>
      <c r="O442" s="50"/>
      <c r="Q442" s="57"/>
      <c r="R442" s="57"/>
    </row>
    <row r="443" spans="1:23" ht="15.75">
      <c r="A443" s="809"/>
      <c r="B443" s="810"/>
      <c r="C443" s="809"/>
      <c r="D443" s="888"/>
      <c r="E443" s="809"/>
      <c r="F443" s="811"/>
      <c r="G443" s="171"/>
      <c r="I443" s="57"/>
      <c r="J443" s="170"/>
      <c r="K443" s="170"/>
      <c r="L443" s="570"/>
      <c r="M443" s="570"/>
      <c r="N443" s="570"/>
      <c r="O443" s="570"/>
      <c r="Q443" s="50"/>
      <c r="R443" s="57"/>
      <c r="S443" s="57"/>
      <c r="T443" s="57"/>
      <c r="U443" s="57"/>
    </row>
    <row r="444" spans="1:23" ht="18.75" customHeight="1" thickBot="1">
      <c r="A444" s="1317" t="s">
        <v>5</v>
      </c>
      <c r="B444" s="1318"/>
      <c r="C444" s="1318"/>
      <c r="D444" s="1318"/>
      <c r="E444" s="1319"/>
      <c r="F444" s="911">
        <f>ROUND(SUM(F433:F442),0)</f>
        <v>0</v>
      </c>
      <c r="G444" s="171"/>
      <c r="I444" s="57"/>
      <c r="J444" s="170"/>
      <c r="K444" s="170"/>
      <c r="L444" s="807"/>
      <c r="M444" s="571"/>
      <c r="N444" s="570"/>
      <c r="O444" s="570"/>
      <c r="Q444" s="50"/>
      <c r="R444" s="57"/>
      <c r="S444" s="57"/>
      <c r="T444" s="57"/>
      <c r="U444" s="57"/>
    </row>
    <row r="445" spans="1:23" ht="15.75">
      <c r="A445" s="1227"/>
      <c r="B445" s="1227"/>
      <c r="C445" s="1227"/>
      <c r="D445" s="1227"/>
      <c r="E445" s="1227"/>
      <c r="F445" s="1195"/>
      <c r="G445" s="171"/>
      <c r="I445" s="57"/>
      <c r="J445" s="170"/>
      <c r="K445" s="170"/>
      <c r="L445" s="139"/>
      <c r="M445" s="572"/>
      <c r="N445" s="139"/>
      <c r="O445" s="573"/>
      <c r="Q445" s="50"/>
      <c r="R445" s="57"/>
      <c r="S445" s="57"/>
      <c r="T445" s="57"/>
      <c r="U445" s="57"/>
    </row>
    <row r="446" spans="1:23" ht="15.75">
      <c r="A446" s="1227"/>
      <c r="B446" s="1227"/>
      <c r="C446" s="1227"/>
      <c r="D446" s="1227"/>
      <c r="E446" s="1227"/>
      <c r="F446" s="1195"/>
      <c r="G446" s="171"/>
      <c r="I446" s="57"/>
      <c r="J446" s="349"/>
      <c r="K446" s="170"/>
      <c r="L446" s="139"/>
      <c r="M446" s="572"/>
      <c r="N446" s="139"/>
      <c r="O446" s="573"/>
      <c r="Q446" s="50"/>
      <c r="R446" s="57"/>
      <c r="S446" s="57"/>
      <c r="T446" s="57"/>
      <c r="U446" s="57"/>
    </row>
    <row r="447" spans="1:23" ht="15.75">
      <c r="A447" s="1194"/>
      <c r="B447" s="1194"/>
      <c r="C447" s="1194"/>
      <c r="D447" s="1194"/>
      <c r="E447" s="1194"/>
      <c r="F447" s="1195"/>
      <c r="G447" s="171"/>
      <c r="I447" s="57"/>
      <c r="J447" s="349"/>
      <c r="K447" s="170"/>
      <c r="L447" s="139"/>
      <c r="M447" s="572"/>
      <c r="N447" s="139"/>
      <c r="O447" s="573"/>
      <c r="Q447" s="50"/>
      <c r="R447" s="57"/>
      <c r="S447" s="57"/>
      <c r="T447" s="57"/>
      <c r="U447" s="57"/>
    </row>
    <row r="448" spans="1:23" ht="15.75">
      <c r="A448" s="1194"/>
      <c r="B448" s="1194"/>
      <c r="C448" s="1194"/>
      <c r="D448" s="1194"/>
      <c r="E448" s="1194"/>
      <c r="F448" s="1195"/>
      <c r="G448" s="171"/>
      <c r="I448" s="57"/>
      <c r="J448" s="349"/>
      <c r="K448" s="170"/>
      <c r="L448" s="139"/>
      <c r="M448" s="572"/>
      <c r="N448" s="139"/>
      <c r="O448" s="574"/>
      <c r="Q448" s="732"/>
      <c r="R448" s="732"/>
      <c r="S448" s="57"/>
      <c r="T448" s="57"/>
      <c r="U448" s="57"/>
    </row>
    <row r="449" spans="1:21" ht="16.5" thickBot="1">
      <c r="A449" s="1178"/>
      <c r="B449" s="1178"/>
      <c r="C449" s="1178"/>
      <c r="D449" s="1178"/>
      <c r="E449" s="1178"/>
      <c r="F449" s="1195"/>
      <c r="G449" s="171"/>
      <c r="I449" s="57"/>
      <c r="J449" s="349"/>
      <c r="K449" s="170"/>
      <c r="L449" s="139"/>
      <c r="M449" s="572"/>
      <c r="N449" s="139"/>
      <c r="O449" s="574"/>
      <c r="Q449" s="732"/>
      <c r="R449" s="732"/>
      <c r="S449" s="73"/>
      <c r="T449" s="57"/>
      <c r="U449" s="57"/>
    </row>
    <row r="450" spans="1:21" ht="16.5" thickBot="1">
      <c r="A450" s="1036" t="s">
        <v>562</v>
      </c>
      <c r="B450" s="1037" t="s">
        <v>7</v>
      </c>
      <c r="C450" s="977" t="s">
        <v>0</v>
      </c>
      <c r="D450" s="977" t="s">
        <v>8</v>
      </c>
      <c r="E450" s="1037" t="s">
        <v>2</v>
      </c>
      <c r="F450" s="1038" t="s">
        <v>387</v>
      </c>
      <c r="G450" s="978" t="s">
        <v>9</v>
      </c>
      <c r="I450" s="57"/>
      <c r="J450" s="349"/>
      <c r="K450" s="170"/>
      <c r="L450" s="139"/>
      <c r="M450" s="572"/>
      <c r="N450" s="139"/>
      <c r="O450" s="139"/>
      <c r="Q450" s="734"/>
      <c r="R450" s="734"/>
      <c r="S450" s="733"/>
      <c r="T450" s="698"/>
      <c r="U450" s="57"/>
    </row>
    <row r="451" spans="1:21" ht="15.75">
      <c r="A451" s="989"/>
      <c r="B451" s="1039" t="s">
        <v>164</v>
      </c>
      <c r="C451" s="1040"/>
      <c r="D451" s="1041"/>
      <c r="E451" s="1042"/>
      <c r="F451" s="1043"/>
      <c r="G451" s="1044">
        <v>0</v>
      </c>
      <c r="I451" s="57"/>
      <c r="J451" s="349"/>
      <c r="K451" s="170"/>
      <c r="L451" s="139"/>
      <c r="M451" s="572"/>
      <c r="N451" s="139"/>
      <c r="O451" s="139"/>
      <c r="Q451" s="734"/>
      <c r="R451" s="734"/>
      <c r="S451" s="698"/>
      <c r="T451" s="698"/>
      <c r="U451" s="57"/>
    </row>
    <row r="452" spans="1:21">
      <c r="A452" s="998"/>
      <c r="B452" s="1045" t="s">
        <v>39</v>
      </c>
      <c r="C452" s="1046" t="s">
        <v>63</v>
      </c>
      <c r="D452" s="1047">
        <v>2.46</v>
      </c>
      <c r="E452" s="1048"/>
      <c r="F452" s="1049">
        <v>1.05</v>
      </c>
      <c r="G452" s="1050">
        <v>0</v>
      </c>
      <c r="I452" s="57"/>
      <c r="J452" s="349"/>
      <c r="K452" s="170"/>
      <c r="L452" s="139"/>
      <c r="M452" s="572"/>
      <c r="N452" s="139"/>
      <c r="O452" s="139"/>
      <c r="P452" s="57"/>
      <c r="Q452" s="734"/>
      <c r="R452" s="734"/>
      <c r="S452" s="698"/>
      <c r="T452" s="698"/>
      <c r="U452" s="57"/>
    </row>
    <row r="453" spans="1:21">
      <c r="A453" s="998"/>
      <c r="B453" s="1045" t="s">
        <v>181</v>
      </c>
      <c r="C453" s="1046" t="s">
        <v>63</v>
      </c>
      <c r="D453" s="1047">
        <v>0.2</v>
      </c>
      <c r="E453" s="1048"/>
      <c r="F453" s="1049"/>
      <c r="G453" s="1050">
        <v>0</v>
      </c>
      <c r="I453" s="57"/>
      <c r="J453" s="349"/>
      <c r="K453" s="170"/>
      <c r="L453" s="139"/>
      <c r="M453" s="572"/>
      <c r="N453" s="139"/>
      <c r="O453" s="139"/>
      <c r="P453" s="50"/>
      <c r="Q453" s="734"/>
      <c r="R453" s="734"/>
      <c r="S453" s="698"/>
      <c r="T453" s="698"/>
      <c r="U453" s="57"/>
    </row>
    <row r="454" spans="1:21">
      <c r="A454" s="998"/>
      <c r="B454" s="1045" t="s">
        <v>71</v>
      </c>
      <c r="C454" s="1046" t="s">
        <v>12</v>
      </c>
      <c r="D454" s="1047">
        <v>0.2</v>
      </c>
      <c r="E454" s="1048"/>
      <c r="F454" s="1049"/>
      <c r="G454" s="1050">
        <v>0</v>
      </c>
      <c r="I454" s="57"/>
      <c r="J454" s="349"/>
      <c r="K454" s="170"/>
      <c r="L454" s="139"/>
      <c r="M454" s="572"/>
      <c r="N454" s="139"/>
      <c r="O454" s="139"/>
      <c r="P454" s="50"/>
      <c r="Q454" s="734"/>
      <c r="R454" s="734"/>
      <c r="S454" s="698"/>
      <c r="T454" s="698"/>
      <c r="U454" s="57"/>
    </row>
    <row r="455" spans="1:21">
      <c r="A455" s="998"/>
      <c r="B455" s="1051" t="s">
        <v>24</v>
      </c>
      <c r="C455" s="996" t="s">
        <v>12</v>
      </c>
      <c r="D455" s="1052">
        <v>0.111</v>
      </c>
      <c r="E455" s="1048"/>
      <c r="F455" s="1052"/>
      <c r="G455" s="1050">
        <v>0</v>
      </c>
      <c r="I455" s="57"/>
      <c r="J455" s="349"/>
      <c r="K455" s="170"/>
      <c r="L455" s="139"/>
      <c r="M455" s="572"/>
      <c r="N455" s="139"/>
      <c r="O455" s="140"/>
      <c r="P455" s="50"/>
      <c r="Q455" s="383"/>
      <c r="R455" s="734"/>
      <c r="S455" s="698"/>
      <c r="T455" s="698"/>
      <c r="U455" s="57"/>
    </row>
    <row r="456" spans="1:21">
      <c r="A456" s="998"/>
      <c r="B456" s="1051" t="s">
        <v>182</v>
      </c>
      <c r="C456" s="996" t="s">
        <v>125</v>
      </c>
      <c r="D456" s="1052">
        <v>0.18</v>
      </c>
      <c r="E456" s="1048"/>
      <c r="F456" s="1052"/>
      <c r="G456" s="1050">
        <v>0</v>
      </c>
      <c r="I456" s="57"/>
      <c r="J456" s="349"/>
      <c r="K456" s="170"/>
      <c r="L456" s="139"/>
      <c r="M456" s="572"/>
      <c r="N456" s="139"/>
      <c r="O456" s="140"/>
      <c r="P456" s="50"/>
      <c r="Q456" s="383"/>
      <c r="R456" s="734"/>
      <c r="S456" s="698"/>
      <c r="T456" s="698"/>
      <c r="U456" s="57"/>
    </row>
    <row r="457" spans="1:21" ht="15.75" thickBot="1">
      <c r="A457" s="1053"/>
      <c r="B457" s="1054" t="s">
        <v>183</v>
      </c>
      <c r="C457" s="1055" t="s">
        <v>125</v>
      </c>
      <c r="D457" s="1056">
        <v>8.3000000000000004E-2</v>
      </c>
      <c r="E457" s="1057"/>
      <c r="F457" s="1058">
        <v>1</v>
      </c>
      <c r="G457" s="1050">
        <v>0</v>
      </c>
      <c r="I457" s="57"/>
      <c r="J457" s="349"/>
      <c r="K457" s="170"/>
      <c r="L457" s="139"/>
      <c r="M457" s="572"/>
      <c r="N457" s="139"/>
      <c r="O457" s="575"/>
      <c r="P457" s="50"/>
      <c r="Q457" s="383"/>
      <c r="R457" s="734"/>
      <c r="S457" s="698"/>
      <c r="T457" s="698"/>
      <c r="U457" s="57"/>
    </row>
    <row r="458" spans="1:21" ht="16.5" thickBot="1">
      <c r="A458" s="1060" t="s">
        <v>5</v>
      </c>
      <c r="B458" s="1061"/>
      <c r="C458" s="1062"/>
      <c r="D458" s="1062"/>
      <c r="E458" s="1061"/>
      <c r="F458" s="1063"/>
      <c r="G458" s="1064">
        <v>0</v>
      </c>
      <c r="I458" s="57"/>
      <c r="J458" s="349"/>
      <c r="K458" s="170"/>
      <c r="L458" s="576"/>
      <c r="M458" s="576"/>
      <c r="N458" s="576"/>
      <c r="O458" s="576"/>
      <c r="P458" s="732"/>
      <c r="Q458" s="383"/>
      <c r="R458" s="734"/>
      <c r="S458" s="698"/>
      <c r="T458" s="698"/>
      <c r="U458" s="57"/>
    </row>
    <row r="459" spans="1:21" ht="16.5" thickBot="1">
      <c r="A459" s="956"/>
      <c r="B459" s="956"/>
      <c r="C459" s="956"/>
      <c r="D459" s="956"/>
      <c r="E459" s="956"/>
      <c r="F459" s="558"/>
      <c r="G459" s="171"/>
      <c r="I459" s="57"/>
      <c r="J459" s="349"/>
      <c r="K459" s="170"/>
      <c r="L459" s="170"/>
      <c r="M459" s="170"/>
      <c r="N459" s="170"/>
      <c r="O459" s="170"/>
      <c r="P459" s="732"/>
      <c r="Q459" s="383"/>
      <c r="R459" s="734"/>
      <c r="S459" s="698"/>
      <c r="T459" s="698"/>
      <c r="U459" s="57"/>
    </row>
    <row r="460" spans="1:21">
      <c r="A460" s="1885"/>
      <c r="B460" s="1887" t="s">
        <v>391</v>
      </c>
      <c r="C460" s="1888"/>
      <c r="D460" s="1888"/>
      <c r="E460" s="1889"/>
      <c r="F460" s="1881" t="s">
        <v>399</v>
      </c>
      <c r="G460" s="1882"/>
      <c r="I460" s="57"/>
      <c r="J460" s="349"/>
      <c r="K460" s="170"/>
      <c r="L460" s="170"/>
      <c r="M460" s="170"/>
      <c r="N460" s="170"/>
      <c r="O460" s="170"/>
      <c r="P460" s="734"/>
      <c r="Q460" s="734"/>
      <c r="R460" s="734"/>
      <c r="S460" s="698"/>
      <c r="T460" s="698"/>
      <c r="U460" s="57"/>
    </row>
    <row r="461" spans="1:21" ht="16.5" thickBot="1">
      <c r="A461" s="1886"/>
      <c r="B461" s="1890"/>
      <c r="C461" s="1891"/>
      <c r="D461" s="1891"/>
      <c r="E461" s="1892"/>
      <c r="F461" s="1883"/>
      <c r="G461" s="1884"/>
      <c r="I461" s="57"/>
      <c r="J461" s="571"/>
      <c r="K461" s="807"/>
      <c r="L461" s="807"/>
      <c r="M461" s="571"/>
      <c r="N461" s="807"/>
      <c r="O461" s="571"/>
      <c r="P461" s="734"/>
      <c r="Q461" s="734"/>
      <c r="R461" s="734"/>
      <c r="S461" s="698"/>
      <c r="T461" s="698"/>
      <c r="U461" s="57"/>
    </row>
    <row r="462" spans="1:21" ht="16.5" thickBot="1">
      <c r="A462" s="1011" t="s">
        <v>563</v>
      </c>
      <c r="B462" s="1013" t="s">
        <v>7</v>
      </c>
      <c r="C462" s="1013" t="s">
        <v>0</v>
      </c>
      <c r="D462" s="1013" t="s">
        <v>8</v>
      </c>
      <c r="E462" s="1013" t="s">
        <v>2</v>
      </c>
      <c r="F462" s="1065" t="s">
        <v>387</v>
      </c>
      <c r="G462" s="1066" t="s">
        <v>9</v>
      </c>
      <c r="I462" s="57"/>
      <c r="J462" s="1825"/>
      <c r="K462" s="1825"/>
      <c r="L462" s="1825"/>
      <c r="M462" s="571"/>
      <c r="N462" s="577"/>
      <c r="O462" s="577"/>
      <c r="P462" s="734"/>
      <c r="Q462" s="734"/>
      <c r="R462" s="734"/>
      <c r="S462" s="698"/>
      <c r="T462" s="698"/>
      <c r="U462" s="57"/>
    </row>
    <row r="463" spans="1:21" ht="15.75">
      <c r="A463" s="998"/>
      <c r="B463" s="1045" t="s">
        <v>400</v>
      </c>
      <c r="C463" s="1046" t="s">
        <v>12</v>
      </c>
      <c r="D463" s="1067">
        <v>1</v>
      </c>
      <c r="E463" s="1048"/>
      <c r="F463" s="1049">
        <v>0.03</v>
      </c>
      <c r="G463" s="1050">
        <f>ROUND((PRODUCT(D463:F463)),0)</f>
        <v>0</v>
      </c>
      <c r="I463" s="57"/>
      <c r="J463" s="1782"/>
      <c r="K463" s="1782"/>
      <c r="L463" s="577"/>
      <c r="M463" s="577"/>
      <c r="N463" s="578"/>
      <c r="O463" s="578"/>
      <c r="P463" s="701"/>
      <c r="Q463" s="735"/>
      <c r="R463" s="736"/>
      <c r="S463" s="698"/>
      <c r="T463" s="698"/>
      <c r="U463" s="57"/>
    </row>
    <row r="464" spans="1:21" ht="15.75">
      <c r="A464" s="998"/>
      <c r="B464" s="1045" t="s">
        <v>15</v>
      </c>
      <c r="C464" s="1046" t="s">
        <v>14</v>
      </c>
      <c r="D464" s="1067">
        <v>0.1</v>
      </c>
      <c r="E464" s="1048"/>
      <c r="F464" s="1068"/>
      <c r="G464" s="1050">
        <f>ROUND((PRODUCT(D464:F464)),0)</f>
        <v>0</v>
      </c>
      <c r="I464" s="57"/>
      <c r="J464" s="1782"/>
      <c r="K464" s="1782"/>
      <c r="L464" s="577"/>
      <c r="M464" s="577"/>
      <c r="N464" s="578"/>
      <c r="O464" s="578"/>
      <c r="P464" s="701"/>
      <c r="Q464" s="700"/>
      <c r="R464" s="700"/>
      <c r="S464" s="700"/>
      <c r="T464" s="698"/>
      <c r="U464" s="57"/>
    </row>
    <row r="465" spans="1:21" ht="16.5" thickBot="1">
      <c r="A465" s="1053"/>
      <c r="B465" s="1054" t="s">
        <v>25</v>
      </c>
      <c r="C465" s="1055" t="s">
        <v>14</v>
      </c>
      <c r="D465" s="1069">
        <v>0.05</v>
      </c>
      <c r="E465" s="1057"/>
      <c r="F465" s="1070"/>
      <c r="G465" s="1059">
        <f>ROUND((PRODUCT(D465:F465)),0)</f>
        <v>0</v>
      </c>
      <c r="I465" s="57"/>
      <c r="J465" s="1782"/>
      <c r="K465" s="1782"/>
      <c r="L465" s="577"/>
      <c r="M465" s="577"/>
      <c r="N465" s="578"/>
      <c r="O465" s="578"/>
      <c r="P465" s="383"/>
      <c r="Q465" s="700"/>
      <c r="R465" s="698"/>
      <c r="S465" s="737"/>
      <c r="T465" s="698"/>
      <c r="U465" s="57"/>
    </row>
    <row r="466" spans="1:21" ht="16.5" thickBot="1">
      <c r="A466" s="882" t="s">
        <v>5</v>
      </c>
      <c r="B466" s="883"/>
      <c r="C466" s="883"/>
      <c r="D466" s="883"/>
      <c r="E466" s="883"/>
      <c r="F466" s="1071"/>
      <c r="G466" s="1072">
        <f>+ROUND(SUM(G463:G465),0)</f>
        <v>0</v>
      </c>
      <c r="I466" s="57"/>
      <c r="J466" s="1782"/>
      <c r="K466" s="1782"/>
      <c r="L466" s="577"/>
      <c r="M466" s="577"/>
      <c r="N466" s="578"/>
      <c r="O466" s="578"/>
      <c r="P466" s="383"/>
      <c r="Q466" s="559"/>
      <c r="R466" s="559"/>
      <c r="S466" s="698"/>
      <c r="T466" s="698"/>
      <c r="U466" s="57"/>
    </row>
    <row r="467" spans="1:21" ht="16.5" thickBot="1">
      <c r="A467" s="956"/>
      <c r="B467" s="956"/>
      <c r="C467" s="956"/>
      <c r="D467" s="956"/>
      <c r="E467" s="956"/>
      <c r="F467" s="558"/>
      <c r="G467" s="171"/>
      <c r="J467" s="1782"/>
      <c r="K467" s="1782"/>
      <c r="L467" s="577"/>
      <c r="M467" s="577"/>
      <c r="N467" s="578"/>
      <c r="O467" s="578"/>
      <c r="P467" s="383"/>
      <c r="Q467" s="738"/>
      <c r="R467" s="699"/>
      <c r="S467" s="698"/>
      <c r="T467" s="698"/>
      <c r="U467" s="57"/>
    </row>
    <row r="468" spans="1:21" ht="16.5" thickBot="1">
      <c r="A468" s="1073"/>
      <c r="B468" s="1783" t="s">
        <v>392</v>
      </c>
      <c r="C468" s="1784"/>
      <c r="D468" s="1784"/>
      <c r="E468" s="1785"/>
      <c r="F468" s="1857" t="s">
        <v>399</v>
      </c>
      <c r="G468" s="1858"/>
      <c r="J468" s="1782"/>
      <c r="K468" s="1782"/>
      <c r="L468" s="577"/>
      <c r="M468" s="577"/>
      <c r="N468" s="579"/>
      <c r="O468" s="578"/>
      <c r="P468" s="383"/>
      <c r="Q468" s="708"/>
      <c r="R468" s="708"/>
      <c r="S468" s="559"/>
      <c r="T468" s="559"/>
      <c r="U468" s="57"/>
    </row>
    <row r="469" spans="1:21" ht="16.5" thickBot="1">
      <c r="A469" s="1011" t="s">
        <v>564</v>
      </c>
      <c r="B469" s="1013" t="s">
        <v>7</v>
      </c>
      <c r="C469" s="1013" t="s">
        <v>0</v>
      </c>
      <c r="D469" s="1013" t="s">
        <v>8</v>
      </c>
      <c r="E469" s="1013" t="s">
        <v>2</v>
      </c>
      <c r="F469" s="1065" t="s">
        <v>387</v>
      </c>
      <c r="G469" s="1066" t="s">
        <v>9</v>
      </c>
      <c r="J469" s="1782"/>
      <c r="K469" s="1782"/>
      <c r="L469" s="577"/>
      <c r="M469" s="577"/>
      <c r="N469" s="578"/>
      <c r="O469" s="578"/>
      <c r="P469" s="383"/>
      <c r="Q469" s="708"/>
      <c r="R469" s="708"/>
      <c r="S469" s="699"/>
      <c r="T469" s="699"/>
      <c r="U469" s="57"/>
    </row>
    <row r="470" spans="1:21" ht="15.75">
      <c r="A470" s="1074"/>
      <c r="B470" s="1045" t="s">
        <v>28</v>
      </c>
      <c r="C470" s="1045" t="s">
        <v>40</v>
      </c>
      <c r="D470" s="1075">
        <v>0.06</v>
      </c>
      <c r="E470" s="1076"/>
      <c r="F470" s="1046">
        <v>1.05</v>
      </c>
      <c r="G470" s="1077">
        <f>+ROUND(PRODUCT(D470:F470),0)</f>
        <v>0</v>
      </c>
      <c r="J470" s="1782"/>
      <c r="K470" s="1782"/>
      <c r="L470" s="577"/>
      <c r="M470" s="577"/>
      <c r="N470" s="578"/>
      <c r="O470" s="578"/>
      <c r="P470" s="575"/>
      <c r="Q470" s="708"/>
      <c r="R470" s="708"/>
      <c r="S470" s="739"/>
      <c r="T470" s="691"/>
      <c r="U470" s="57"/>
    </row>
    <row r="471" spans="1:21" ht="15.75">
      <c r="A471" s="1074"/>
      <c r="B471" s="1045" t="s">
        <v>41</v>
      </c>
      <c r="C471" s="1045" t="s">
        <v>29</v>
      </c>
      <c r="D471" s="1075">
        <v>10</v>
      </c>
      <c r="E471" s="1076"/>
      <c r="F471" s="1046"/>
      <c r="G471" s="1077"/>
      <c r="J471" s="957"/>
      <c r="K471" s="957"/>
      <c r="L471" s="577"/>
      <c r="M471" s="577"/>
      <c r="N471" s="578"/>
      <c r="O471" s="578"/>
      <c r="P471" s="575"/>
      <c r="Q471" s="708"/>
      <c r="R471" s="708"/>
      <c r="S471" s="739"/>
      <c r="T471" s="691"/>
    </row>
    <row r="472" spans="1:21" ht="15.75">
      <c r="A472" s="1074"/>
      <c r="B472" s="1045" t="s">
        <v>401</v>
      </c>
      <c r="C472" s="1045" t="s">
        <v>12</v>
      </c>
      <c r="D472" s="1075">
        <v>1</v>
      </c>
      <c r="E472" s="1076"/>
      <c r="F472" s="1046">
        <v>0.1</v>
      </c>
      <c r="G472" s="1077">
        <f>+ROUND(PRODUCT(D472:F472),0)</f>
        <v>0</v>
      </c>
      <c r="J472" s="957"/>
      <c r="K472" s="957"/>
      <c r="L472" s="577"/>
      <c r="M472" s="577"/>
      <c r="N472" s="578"/>
      <c r="O472" s="578"/>
      <c r="P472" s="575"/>
      <c r="Q472" s="708"/>
      <c r="R472" s="708"/>
      <c r="S472" s="739"/>
      <c r="T472" s="691"/>
    </row>
    <row r="473" spans="1:21" ht="15.75">
      <c r="A473" s="1074"/>
      <c r="B473" s="1045" t="s">
        <v>17</v>
      </c>
      <c r="C473" s="1045" t="s">
        <v>12</v>
      </c>
      <c r="D473" s="1075">
        <v>1</v>
      </c>
      <c r="E473" s="1076"/>
      <c r="F473" s="1046">
        <v>3.3333333333333333E-2</v>
      </c>
      <c r="G473" s="1077">
        <f>+ROUND(PRODUCT(D473:F473),0)</f>
        <v>0</v>
      </c>
      <c r="J473" s="957"/>
      <c r="K473" s="957"/>
      <c r="L473" s="577"/>
      <c r="M473" s="577"/>
      <c r="N473" s="578"/>
      <c r="O473" s="578"/>
      <c r="P473" s="575"/>
      <c r="Q473" s="708"/>
      <c r="R473" s="708"/>
      <c r="S473" s="739"/>
      <c r="T473" s="691"/>
    </row>
    <row r="474" spans="1:21" ht="16.5" thickBot="1">
      <c r="A474" s="1078"/>
      <c r="B474" s="1070" t="s">
        <v>25</v>
      </c>
      <c r="C474" s="1079" t="s">
        <v>14</v>
      </c>
      <c r="D474" s="1069">
        <v>0.1</v>
      </c>
      <c r="E474" s="1057"/>
      <c r="F474" s="1070"/>
      <c r="G474" s="1077">
        <f>+ROUND(PRODUCT(D474:F474),0)</f>
        <v>0</v>
      </c>
      <c r="J474" s="957"/>
      <c r="K474" s="957"/>
      <c r="L474" s="577"/>
      <c r="M474" s="577"/>
      <c r="N474" s="578"/>
      <c r="O474" s="578"/>
      <c r="P474" s="575"/>
      <c r="Q474" s="708"/>
      <c r="R474" s="708"/>
      <c r="S474" s="739"/>
      <c r="T474" s="691"/>
    </row>
    <row r="475" spans="1:21" ht="16.5" thickBot="1">
      <c r="A475" s="882" t="s">
        <v>5</v>
      </c>
      <c r="B475" s="883"/>
      <c r="C475" s="883"/>
      <c r="D475" s="883"/>
      <c r="E475" s="883"/>
      <c r="F475" s="1071"/>
      <c r="G475" s="1072">
        <f>+ROUND(SUM(G470:G474),0)</f>
        <v>0</v>
      </c>
      <c r="J475" s="957"/>
      <c r="K475" s="957"/>
      <c r="L475" s="577"/>
      <c r="M475" s="577"/>
      <c r="N475" s="578"/>
      <c r="O475" s="578"/>
      <c r="P475" s="575"/>
      <c r="Q475" s="708"/>
      <c r="R475" s="708"/>
      <c r="S475" s="739"/>
      <c r="T475" s="691"/>
    </row>
    <row r="476" spans="1:21" ht="16.5" thickBot="1">
      <c r="A476" s="956"/>
      <c r="B476" s="956"/>
      <c r="C476" s="956"/>
      <c r="D476" s="956"/>
      <c r="E476" s="956"/>
      <c r="F476" s="956"/>
      <c r="G476" s="561"/>
      <c r="J476" s="957"/>
      <c r="K476" s="957"/>
      <c r="L476" s="577"/>
      <c r="M476" s="577"/>
      <c r="N476" s="578"/>
      <c r="O476" s="578"/>
      <c r="P476" s="575"/>
      <c r="Q476" s="708"/>
      <c r="R476" s="708"/>
      <c r="S476" s="739"/>
      <c r="T476" s="691"/>
    </row>
    <row r="477" spans="1:21" ht="16.5" thickBot="1">
      <c r="A477" s="1814" t="s">
        <v>459</v>
      </c>
      <c r="B477" s="1815"/>
      <c r="C477" s="1815"/>
      <c r="D477" s="1815"/>
      <c r="E477" s="1815"/>
      <c r="F477" s="1815"/>
      <c r="G477" s="1080" t="s">
        <v>460</v>
      </c>
      <c r="J477" s="957"/>
      <c r="K477" s="957"/>
      <c r="L477" s="577"/>
      <c r="M477" s="577"/>
      <c r="N477" s="578"/>
      <c r="O477" s="578"/>
      <c r="P477" s="575"/>
      <c r="Q477" s="708"/>
      <c r="R477" s="708"/>
      <c r="S477" s="739"/>
      <c r="T477" s="691"/>
    </row>
    <row r="478" spans="1:21" ht="16.5" thickBot="1">
      <c r="A478" s="728"/>
      <c r="B478" s="729"/>
      <c r="C478" s="728"/>
      <c r="D478" s="743"/>
      <c r="E478" s="728"/>
      <c r="F478" s="1081"/>
      <c r="G478" s="58"/>
      <c r="J478" s="957"/>
      <c r="K478" s="957"/>
      <c r="L478" s="577"/>
      <c r="M478" s="577"/>
      <c r="N478" s="578"/>
      <c r="O478" s="578"/>
      <c r="P478" s="575"/>
      <c r="Q478" s="708"/>
      <c r="R478" s="708"/>
      <c r="S478" s="739"/>
      <c r="T478" s="691"/>
    </row>
    <row r="479" spans="1:21" ht="16.5" thickBot="1">
      <c r="A479" s="1082" t="s">
        <v>565</v>
      </c>
      <c r="B479" s="1083" t="s">
        <v>7</v>
      </c>
      <c r="C479" s="1084" t="s">
        <v>0</v>
      </c>
      <c r="D479" s="1085" t="s">
        <v>8</v>
      </c>
      <c r="E479" s="1086" t="s">
        <v>2</v>
      </c>
      <c r="F479" s="1065" t="s">
        <v>387</v>
      </c>
      <c r="G479" s="1087" t="s">
        <v>9</v>
      </c>
      <c r="J479" s="957"/>
      <c r="K479" s="957"/>
      <c r="L479" s="577"/>
      <c r="M479" s="577"/>
      <c r="N479" s="578"/>
      <c r="O479" s="578"/>
      <c r="P479" s="575"/>
      <c r="Q479" s="708"/>
      <c r="R479" s="708"/>
      <c r="S479" s="739"/>
      <c r="T479" s="691"/>
    </row>
    <row r="480" spans="1:21" ht="15.75">
      <c r="A480" s="979"/>
      <c r="B480" s="1000" t="s">
        <v>24</v>
      </c>
      <c r="C480" s="1006" t="s">
        <v>12</v>
      </c>
      <c r="D480" s="1088">
        <v>1</v>
      </c>
      <c r="E480" s="1089"/>
      <c r="F480" s="1090">
        <v>0.1</v>
      </c>
      <c r="G480" s="1091">
        <f>+E480*D480*F480</f>
        <v>0</v>
      </c>
      <c r="J480" s="957"/>
      <c r="K480" s="957"/>
      <c r="L480" s="577"/>
      <c r="M480" s="577"/>
      <c r="N480" s="578"/>
      <c r="O480" s="578"/>
      <c r="P480" s="575"/>
      <c r="Q480" s="708"/>
      <c r="R480" s="708"/>
      <c r="S480" s="739"/>
      <c r="T480" s="691"/>
    </row>
    <row r="481" spans="1:20" ht="15.75">
      <c r="A481" s="1092"/>
      <c r="B481" s="1093" t="s">
        <v>183</v>
      </c>
      <c r="C481" s="1094" t="s">
        <v>14</v>
      </c>
      <c r="D481" s="1095">
        <v>0.1</v>
      </c>
      <c r="E481" s="1096"/>
      <c r="F481" s="1097"/>
      <c r="G481" s="1098">
        <f>+E481*D481</f>
        <v>0</v>
      </c>
      <c r="J481" s="957"/>
      <c r="K481" s="957"/>
      <c r="L481" s="577"/>
      <c r="M481" s="577"/>
      <c r="N481" s="578"/>
      <c r="O481" s="578"/>
      <c r="P481" s="575"/>
      <c r="Q481" s="708"/>
      <c r="R481" s="708"/>
      <c r="S481" s="739"/>
      <c r="T481" s="691"/>
    </row>
    <row r="482" spans="1:20" ht="15.75">
      <c r="A482" s="979"/>
      <c r="B482" s="1000" t="s">
        <v>135</v>
      </c>
      <c r="C482" s="1019" t="s">
        <v>4</v>
      </c>
      <c r="D482" s="1017">
        <f>0.8*1*0.15</f>
        <v>0.12</v>
      </c>
      <c r="E482" s="1099">
        <f>+E498</f>
        <v>0</v>
      </c>
      <c r="F482" s="1097"/>
      <c r="G482" s="1098">
        <f>+E482*D482</f>
        <v>0</v>
      </c>
      <c r="J482" s="957"/>
      <c r="K482" s="957"/>
      <c r="L482" s="577"/>
      <c r="M482" s="577"/>
      <c r="N482" s="578"/>
      <c r="O482" s="578"/>
      <c r="P482" s="575"/>
      <c r="Q482" s="708"/>
      <c r="R482" s="708"/>
      <c r="S482" s="739"/>
      <c r="T482" s="691"/>
    </row>
    <row r="483" spans="1:20" ht="16.5" thickBot="1">
      <c r="A483" s="1100"/>
      <c r="B483" s="1093" t="s">
        <v>83</v>
      </c>
      <c r="C483" s="1030" t="s">
        <v>4</v>
      </c>
      <c r="D483" s="1101">
        <f>0.7*1*0.15</f>
        <v>0.105</v>
      </c>
      <c r="E483" s="1102">
        <f>+E499</f>
        <v>0</v>
      </c>
      <c r="F483" s="1103"/>
      <c r="G483" s="1098">
        <f>+E483*D483</f>
        <v>0</v>
      </c>
      <c r="J483" s="957"/>
      <c r="K483" s="957"/>
      <c r="L483" s="577"/>
      <c r="M483" s="577"/>
      <c r="N483" s="578"/>
      <c r="O483" s="578"/>
      <c r="P483" s="575"/>
      <c r="Q483" s="708"/>
      <c r="R483" s="708"/>
      <c r="S483" s="739"/>
      <c r="T483" s="691"/>
    </row>
    <row r="484" spans="1:20" ht="16.5" thickBot="1">
      <c r="A484" s="1789" t="s">
        <v>5</v>
      </c>
      <c r="B484" s="1790"/>
      <c r="C484" s="1790"/>
      <c r="D484" s="1790"/>
      <c r="E484" s="1790"/>
      <c r="F484" s="1813"/>
      <c r="G484" s="1104">
        <f>ROUND(SUM(G480:G483),0)</f>
        <v>0</v>
      </c>
      <c r="J484" s="957"/>
      <c r="K484" s="957"/>
      <c r="L484" s="577"/>
      <c r="M484" s="577"/>
      <c r="N484" s="578"/>
      <c r="O484" s="578"/>
      <c r="P484" s="575"/>
      <c r="Q484" s="708"/>
      <c r="R484" s="708"/>
      <c r="S484" s="739"/>
      <c r="T484" s="691"/>
    </row>
    <row r="485" spans="1:20" ht="15.75">
      <c r="A485" s="956"/>
      <c r="B485" s="956"/>
      <c r="C485" s="956"/>
      <c r="D485" s="956"/>
      <c r="E485" s="956"/>
      <c r="F485" s="956"/>
      <c r="G485" s="561"/>
      <c r="J485" s="957"/>
      <c r="K485" s="957"/>
      <c r="L485" s="577"/>
      <c r="M485" s="577"/>
      <c r="N485" s="578"/>
      <c r="O485" s="578"/>
      <c r="P485" s="575"/>
      <c r="Q485" s="708"/>
      <c r="R485" s="708"/>
      <c r="S485" s="739"/>
      <c r="T485" s="691"/>
    </row>
    <row r="486" spans="1:20" ht="15.75">
      <c r="A486" s="956"/>
      <c r="B486" s="956"/>
      <c r="C486" s="956"/>
      <c r="D486" s="956"/>
      <c r="E486" s="956"/>
      <c r="F486" s="956"/>
      <c r="G486" s="561"/>
      <c r="J486" s="957"/>
      <c r="K486" s="957"/>
      <c r="L486" s="577"/>
      <c r="M486" s="577"/>
      <c r="N486" s="578"/>
      <c r="O486" s="578"/>
      <c r="P486" s="575"/>
      <c r="Q486" s="708"/>
      <c r="R486" s="708"/>
      <c r="S486" s="739"/>
      <c r="T486" s="691"/>
    </row>
    <row r="487" spans="1:20" ht="15.75">
      <c r="A487" s="956"/>
      <c r="B487" s="956"/>
      <c r="C487" s="956"/>
      <c r="D487" s="956"/>
      <c r="E487" s="956"/>
      <c r="F487" s="956"/>
      <c r="G487" s="561"/>
      <c r="J487" s="957"/>
      <c r="K487" s="957"/>
      <c r="L487" s="577"/>
      <c r="M487" s="577"/>
      <c r="N487" s="578"/>
      <c r="O487" s="578"/>
      <c r="P487" s="575"/>
      <c r="Q487" s="708"/>
      <c r="R487" s="708"/>
      <c r="S487" s="739"/>
      <c r="T487" s="691"/>
    </row>
    <row r="488" spans="1:20" ht="16.5" thickBot="1">
      <c r="A488" s="956"/>
      <c r="B488" s="956"/>
      <c r="C488" s="956"/>
      <c r="D488" s="956"/>
      <c r="E488" s="956"/>
      <c r="F488" s="956"/>
      <c r="G488" s="561"/>
      <c r="J488" s="957"/>
      <c r="K488" s="957"/>
      <c r="L488" s="577"/>
      <c r="M488" s="577"/>
      <c r="N488" s="578"/>
      <c r="O488" s="578"/>
      <c r="P488" s="575"/>
      <c r="Q488" s="708"/>
      <c r="R488" s="708"/>
      <c r="S488" s="739"/>
      <c r="T488" s="691"/>
    </row>
    <row r="489" spans="1:20" ht="16.5" thickBot="1">
      <c r="A489" s="1786" t="s">
        <v>567</v>
      </c>
      <c r="B489" s="1787"/>
      <c r="C489" s="1787"/>
      <c r="D489" s="1787"/>
      <c r="E489" s="1787"/>
      <c r="F489" s="1788"/>
      <c r="G489" s="561"/>
      <c r="J489" s="957"/>
      <c r="K489" s="957"/>
      <c r="L489" s="577"/>
      <c r="M489" s="577"/>
      <c r="N489" s="578"/>
      <c r="O489" s="578"/>
      <c r="P489" s="575"/>
      <c r="Q489" s="708"/>
      <c r="R489" s="708"/>
      <c r="S489" s="739"/>
      <c r="T489" s="691"/>
    </row>
    <row r="490" spans="1:20" ht="16.5" thickBot="1">
      <c r="A490" s="728"/>
      <c r="B490" s="729"/>
      <c r="C490" s="728"/>
      <c r="D490" s="728"/>
      <c r="E490" s="728"/>
      <c r="F490" s="58"/>
      <c r="G490" s="561"/>
      <c r="J490" s="957"/>
      <c r="K490" s="957"/>
      <c r="L490" s="577"/>
      <c r="M490" s="577"/>
      <c r="N490" s="578"/>
      <c r="O490" s="578"/>
      <c r="P490" s="575"/>
      <c r="Q490" s="708"/>
      <c r="R490" s="708"/>
      <c r="S490" s="739"/>
      <c r="T490" s="691"/>
    </row>
    <row r="491" spans="1:20" ht="15.75">
      <c r="A491" s="975" t="s">
        <v>566</v>
      </c>
      <c r="B491" s="976" t="s">
        <v>7</v>
      </c>
      <c r="C491" s="977" t="s">
        <v>0</v>
      </c>
      <c r="D491" s="977" t="s">
        <v>8</v>
      </c>
      <c r="E491" s="977" t="s">
        <v>2</v>
      </c>
      <c r="F491" s="78" t="s">
        <v>9</v>
      </c>
      <c r="G491" s="561"/>
      <c r="J491" s="957"/>
      <c r="K491" s="957"/>
      <c r="L491" s="577"/>
      <c r="M491" s="577"/>
      <c r="N491" s="578"/>
      <c r="O491" s="578"/>
      <c r="P491" s="575"/>
      <c r="Q491" s="708"/>
      <c r="R491" s="708"/>
      <c r="S491" s="739"/>
      <c r="T491" s="691"/>
    </row>
    <row r="492" spans="1:20" ht="15.75">
      <c r="A492" s="998"/>
      <c r="B492" s="1000" t="s">
        <v>79</v>
      </c>
      <c r="C492" s="1019" t="s">
        <v>80</v>
      </c>
      <c r="D492" s="1020">
        <v>2</v>
      </c>
      <c r="E492" s="983">
        <f>+O85</f>
        <v>0</v>
      </c>
      <c r="F492" s="994">
        <f t="shared" ref="F492:F504" si="47">+ROUND(D492*E492,0)</f>
        <v>0</v>
      </c>
      <c r="G492" s="561"/>
      <c r="J492" s="957"/>
      <c r="K492" s="957"/>
      <c r="L492" s="577"/>
      <c r="M492" s="577"/>
      <c r="N492" s="578"/>
      <c r="O492" s="578"/>
      <c r="P492" s="575"/>
      <c r="Q492" s="708"/>
      <c r="R492" s="708"/>
      <c r="S492" s="739"/>
      <c r="T492" s="691"/>
    </row>
    <row r="493" spans="1:20" ht="30.75">
      <c r="A493" s="998"/>
      <c r="B493" s="980" t="s">
        <v>130</v>
      </c>
      <c r="C493" s="1019" t="s">
        <v>80</v>
      </c>
      <c r="D493" s="1020">
        <v>2</v>
      </c>
      <c r="E493" s="983">
        <f>+O77</f>
        <v>0</v>
      </c>
      <c r="F493" s="994">
        <f t="shared" si="47"/>
        <v>0</v>
      </c>
      <c r="G493" s="561"/>
      <c r="J493" s="957"/>
      <c r="K493" s="957"/>
      <c r="L493" s="577"/>
      <c r="M493" s="577"/>
      <c r="N493" s="578"/>
      <c r="O493" s="578"/>
      <c r="P493" s="575"/>
      <c r="Q493" s="708"/>
      <c r="R493" s="708"/>
      <c r="S493" s="739"/>
      <c r="T493" s="691"/>
    </row>
    <row r="494" spans="1:20" ht="15.75">
      <c r="A494" s="998"/>
      <c r="B494" s="1000" t="s">
        <v>81</v>
      </c>
      <c r="C494" s="1019" t="s">
        <v>86</v>
      </c>
      <c r="D494" s="1017">
        <v>0.2</v>
      </c>
      <c r="E494" s="983">
        <f>+O107</f>
        <v>0</v>
      </c>
      <c r="F494" s="994">
        <f t="shared" si="47"/>
        <v>0</v>
      </c>
      <c r="G494" s="561"/>
      <c r="J494" s="957"/>
      <c r="K494" s="957"/>
      <c r="L494" s="577"/>
      <c r="M494" s="577"/>
      <c r="N494" s="578"/>
      <c r="O494" s="578"/>
      <c r="P494" s="575"/>
      <c r="Q494" s="708"/>
      <c r="R494" s="708"/>
      <c r="S494" s="739"/>
      <c r="T494" s="691"/>
    </row>
    <row r="495" spans="1:20" ht="15.75">
      <c r="A495" s="998"/>
      <c r="B495" s="999" t="s">
        <v>159</v>
      </c>
      <c r="C495" s="1019" t="s">
        <v>80</v>
      </c>
      <c r="D495" s="1020">
        <v>2</v>
      </c>
      <c r="E495" s="983">
        <f>+E168</f>
        <v>0</v>
      </c>
      <c r="F495" s="994">
        <f t="shared" si="47"/>
        <v>0</v>
      </c>
      <c r="G495" s="561"/>
      <c r="J495" s="957"/>
      <c r="K495" s="957"/>
      <c r="L495" s="577"/>
      <c r="M495" s="577"/>
      <c r="N495" s="578"/>
      <c r="O495" s="578"/>
      <c r="P495" s="575"/>
      <c r="Q495" s="708"/>
      <c r="R495" s="708"/>
      <c r="S495" s="739"/>
      <c r="T495" s="691"/>
    </row>
    <row r="496" spans="1:20" ht="15.75">
      <c r="A496" s="998"/>
      <c r="B496" s="999" t="s">
        <v>160</v>
      </c>
      <c r="C496" s="1021" t="s">
        <v>3</v>
      </c>
      <c r="D496" s="1020">
        <f>0.7*1</f>
        <v>0.7</v>
      </c>
      <c r="E496" s="983"/>
      <c r="F496" s="994">
        <f t="shared" si="47"/>
        <v>0</v>
      </c>
      <c r="G496" s="561"/>
      <c r="J496" s="957"/>
      <c r="K496" s="957"/>
      <c r="L496" s="577"/>
      <c r="M496" s="577"/>
      <c r="N496" s="578"/>
      <c r="O496" s="578"/>
      <c r="P496" s="575"/>
      <c r="Q496" s="708"/>
      <c r="R496" s="708"/>
      <c r="S496" s="739"/>
      <c r="T496" s="691"/>
    </row>
    <row r="497" spans="1:20" ht="15.75">
      <c r="A497" s="998"/>
      <c r="B497" s="1000" t="s">
        <v>150</v>
      </c>
      <c r="C497" s="1019" t="s">
        <v>4</v>
      </c>
      <c r="D497" s="1017">
        <f>1*0.65*0.7</f>
        <v>0.45499999999999996</v>
      </c>
      <c r="E497" s="983"/>
      <c r="F497" s="994">
        <f t="shared" si="47"/>
        <v>0</v>
      </c>
      <c r="G497" s="561"/>
      <c r="J497" s="957"/>
      <c r="K497" s="957"/>
      <c r="L497" s="577"/>
      <c r="M497" s="577"/>
      <c r="N497" s="578"/>
      <c r="O497" s="578"/>
      <c r="P497" s="575"/>
      <c r="Q497" s="708"/>
      <c r="R497" s="708"/>
      <c r="S497" s="739"/>
      <c r="T497" s="691"/>
    </row>
    <row r="498" spans="1:20" ht="15.75">
      <c r="A498" s="998"/>
      <c r="B498" s="1000" t="s">
        <v>135</v>
      </c>
      <c r="C498" s="1019" t="s">
        <v>4</v>
      </c>
      <c r="D498" s="1017">
        <f>0.7*1*0.15</f>
        <v>0.105</v>
      </c>
      <c r="E498" s="983"/>
      <c r="F498" s="994">
        <f t="shared" si="47"/>
        <v>0</v>
      </c>
      <c r="G498" s="561"/>
      <c r="J498" s="957"/>
      <c r="K498" s="957"/>
      <c r="L498" s="577"/>
      <c r="M498" s="577"/>
      <c r="N498" s="578"/>
      <c r="O498" s="578"/>
      <c r="P498" s="575"/>
      <c r="Q498" s="708"/>
      <c r="R498" s="708"/>
      <c r="S498" s="739"/>
      <c r="T498" s="691"/>
    </row>
    <row r="499" spans="1:20" ht="15.75">
      <c r="A499" s="998"/>
      <c r="B499" s="1000" t="s">
        <v>83</v>
      </c>
      <c r="C499" s="1019" t="s">
        <v>4</v>
      </c>
      <c r="D499" s="1017">
        <f>0.7*1*0.15</f>
        <v>0.105</v>
      </c>
      <c r="E499" s="983"/>
      <c r="F499" s="994">
        <f t="shared" si="47"/>
        <v>0</v>
      </c>
      <c r="G499" s="561"/>
      <c r="J499" s="957"/>
      <c r="K499" s="957"/>
      <c r="L499" s="577"/>
      <c r="M499" s="577"/>
      <c r="N499" s="578"/>
      <c r="O499" s="578"/>
      <c r="P499" s="575"/>
      <c r="Q499" s="708"/>
      <c r="R499" s="708"/>
      <c r="S499" s="739"/>
      <c r="T499" s="691"/>
    </row>
    <row r="500" spans="1:20" ht="15.75">
      <c r="A500" s="998"/>
      <c r="B500" s="1000" t="s">
        <v>176</v>
      </c>
      <c r="C500" s="1021" t="s">
        <v>4</v>
      </c>
      <c r="D500" s="1017">
        <f>1*0.65*0.15</f>
        <v>9.7500000000000003E-2</v>
      </c>
      <c r="E500" s="983"/>
      <c r="F500" s="994">
        <f t="shared" si="47"/>
        <v>0</v>
      </c>
      <c r="G500" s="561"/>
      <c r="J500" s="957"/>
      <c r="K500" s="957"/>
      <c r="L500" s="577"/>
      <c r="M500" s="577"/>
      <c r="N500" s="578"/>
      <c r="O500" s="578"/>
      <c r="P500" s="575"/>
      <c r="Q500" s="708"/>
      <c r="R500" s="708"/>
      <c r="S500" s="739"/>
      <c r="T500" s="691"/>
    </row>
    <row r="501" spans="1:20" ht="15.75">
      <c r="A501" s="998"/>
      <c r="B501" s="1000" t="s">
        <v>82</v>
      </c>
      <c r="C501" s="1019" t="s">
        <v>80</v>
      </c>
      <c r="D501" s="1017">
        <v>6</v>
      </c>
      <c r="E501" s="983"/>
      <c r="F501" s="994">
        <f t="shared" si="47"/>
        <v>0</v>
      </c>
      <c r="G501" s="561"/>
      <c r="J501" s="957"/>
      <c r="K501" s="957"/>
      <c r="L501" s="577"/>
      <c r="M501" s="577"/>
      <c r="N501" s="578"/>
      <c r="O501" s="578"/>
      <c r="P501" s="575"/>
      <c r="Q501" s="708"/>
      <c r="R501" s="708"/>
      <c r="S501" s="739"/>
      <c r="T501" s="691"/>
    </row>
    <row r="502" spans="1:20" ht="15.75">
      <c r="A502" s="998"/>
      <c r="B502" s="1000" t="s">
        <v>177</v>
      </c>
      <c r="C502" s="1019" t="s">
        <v>4</v>
      </c>
      <c r="D502" s="1017">
        <f>0.3*0.65*1</f>
        <v>0.19500000000000001</v>
      </c>
      <c r="E502" s="983"/>
      <c r="F502" s="994">
        <f t="shared" si="47"/>
        <v>0</v>
      </c>
      <c r="G502" s="561"/>
      <c r="J502" s="957"/>
      <c r="K502" s="957"/>
      <c r="L502" s="577"/>
      <c r="M502" s="577"/>
      <c r="N502" s="578"/>
      <c r="O502" s="578"/>
      <c r="P502" s="575"/>
      <c r="Q502" s="708"/>
      <c r="R502" s="708"/>
      <c r="S502" s="739"/>
      <c r="T502" s="691"/>
    </row>
    <row r="503" spans="1:20" ht="15.75">
      <c r="A503" s="998"/>
      <c r="B503" s="1000" t="s">
        <v>411</v>
      </c>
      <c r="C503" s="1019" t="s">
        <v>4</v>
      </c>
      <c r="D503" s="1017">
        <f>1*0.65*0.15</f>
        <v>9.7500000000000003E-2</v>
      </c>
      <c r="E503" s="983"/>
      <c r="F503" s="994">
        <f t="shared" si="47"/>
        <v>0</v>
      </c>
      <c r="G503" s="561"/>
      <c r="J503" s="957"/>
      <c r="K503" s="957"/>
      <c r="L503" s="577"/>
      <c r="M503" s="577"/>
      <c r="N503" s="578"/>
      <c r="O503" s="578"/>
      <c r="P503" s="575"/>
      <c r="Q503" s="708"/>
      <c r="R503" s="708"/>
      <c r="S503" s="739"/>
      <c r="T503" s="691"/>
    </row>
    <row r="504" spans="1:20" ht="30.75">
      <c r="A504" s="998"/>
      <c r="B504" s="980" t="s">
        <v>414</v>
      </c>
      <c r="C504" s="1019" t="s">
        <v>3</v>
      </c>
      <c r="D504" s="1017">
        <f>0.7*1</f>
        <v>0.7</v>
      </c>
      <c r="E504" s="983"/>
      <c r="F504" s="994">
        <f t="shared" si="47"/>
        <v>0</v>
      </c>
      <c r="G504" s="561"/>
      <c r="J504" s="957"/>
      <c r="K504" s="957"/>
      <c r="L504" s="577"/>
      <c r="M504" s="577"/>
      <c r="N504" s="578"/>
      <c r="O504" s="578"/>
      <c r="P504" s="575"/>
      <c r="Q504" s="708"/>
      <c r="R504" s="708"/>
      <c r="S504" s="739"/>
      <c r="T504" s="691"/>
    </row>
    <row r="505" spans="1:20" ht="16.5" thickBot="1">
      <c r="A505" s="171"/>
      <c r="B505" s="171"/>
      <c r="C505" s="171"/>
      <c r="D505" s="171"/>
      <c r="E505" s="171"/>
      <c r="F505" s="171"/>
      <c r="G505" s="561"/>
      <c r="J505" s="957"/>
      <c r="K505" s="957"/>
      <c r="L505" s="577"/>
      <c r="M505" s="577"/>
      <c r="N505" s="578"/>
      <c r="O505" s="578"/>
      <c r="P505" s="575"/>
      <c r="Q505" s="708"/>
      <c r="R505" s="708"/>
      <c r="S505" s="739"/>
      <c r="T505" s="691"/>
    </row>
    <row r="506" spans="1:20" ht="16.5" thickBot="1">
      <c r="A506" s="1789" t="s">
        <v>5</v>
      </c>
      <c r="B506" s="1790"/>
      <c r="C506" s="1790"/>
      <c r="D506" s="1790"/>
      <c r="E506" s="1791"/>
      <c r="F506" s="988">
        <f>ROUND(SUM(F492:F504),0)</f>
        <v>0</v>
      </c>
      <c r="G506" s="561"/>
      <c r="J506" s="957"/>
      <c r="K506" s="957"/>
      <c r="L506" s="577"/>
      <c r="M506" s="577"/>
      <c r="N506" s="578"/>
      <c r="O506" s="578"/>
      <c r="P506" s="575"/>
      <c r="Q506" s="708"/>
      <c r="R506" s="708"/>
      <c r="S506" s="739"/>
      <c r="T506" s="691"/>
    </row>
    <row r="507" spans="1:20" ht="15.75">
      <c r="A507" s="956"/>
      <c r="B507" s="956"/>
      <c r="C507" s="956"/>
      <c r="D507" s="956"/>
      <c r="E507" s="956"/>
      <c r="F507" s="956"/>
      <c r="G507" s="561"/>
      <c r="J507" s="957"/>
      <c r="K507" s="957"/>
      <c r="L507" s="577"/>
      <c r="M507" s="577"/>
      <c r="N507" s="578"/>
      <c r="O507" s="578"/>
      <c r="P507" s="575"/>
      <c r="Q507" s="708"/>
      <c r="R507" s="708"/>
      <c r="S507" s="739"/>
      <c r="T507" s="691"/>
    </row>
    <row r="508" spans="1:20" ht="16.5" thickBot="1">
      <c r="A508" s="956"/>
      <c r="B508" s="956"/>
      <c r="C508" s="956"/>
      <c r="D508" s="956"/>
      <c r="E508" s="956"/>
      <c r="F508" s="956"/>
      <c r="G508" s="561"/>
      <c r="J508" s="957"/>
      <c r="K508" s="957"/>
      <c r="L508" s="577"/>
      <c r="M508" s="577"/>
      <c r="N508" s="578"/>
      <c r="O508" s="578"/>
      <c r="P508" s="575"/>
      <c r="Q508" s="708"/>
      <c r="R508" s="708"/>
      <c r="S508" s="739"/>
      <c r="T508" s="691"/>
    </row>
    <row r="509" spans="1:20" ht="16.5" thickBot="1">
      <c r="A509" s="973"/>
      <c r="B509" s="1792" t="s">
        <v>449</v>
      </c>
      <c r="C509" s="1793"/>
      <c r="D509" s="1793"/>
      <c r="E509" s="1794"/>
      <c r="F509" s="974" t="s">
        <v>448</v>
      </c>
      <c r="G509" s="171"/>
      <c r="J509" s="957"/>
      <c r="K509" s="957"/>
      <c r="L509" s="577"/>
      <c r="M509" s="577"/>
      <c r="N509" s="578"/>
      <c r="O509" s="578"/>
      <c r="P509" s="575"/>
      <c r="Q509" s="708"/>
      <c r="R509" s="708"/>
      <c r="S509" s="739"/>
      <c r="T509" s="691"/>
    </row>
    <row r="510" spans="1:20" ht="15.75">
      <c r="A510" s="975" t="s">
        <v>577</v>
      </c>
      <c r="B510" s="976" t="s">
        <v>7</v>
      </c>
      <c r="C510" s="977" t="s">
        <v>0</v>
      </c>
      <c r="D510" s="977" t="s">
        <v>8</v>
      </c>
      <c r="E510" s="977" t="s">
        <v>2</v>
      </c>
      <c r="F510" s="978" t="s">
        <v>9</v>
      </c>
      <c r="G510" s="772"/>
      <c r="J510" s="957"/>
      <c r="K510" s="957"/>
      <c r="L510" s="577"/>
      <c r="M510" s="577"/>
      <c r="N510" s="578"/>
      <c r="O510" s="578"/>
      <c r="P510" s="575"/>
      <c r="Q510" s="708"/>
      <c r="R510" s="708"/>
      <c r="S510" s="739"/>
      <c r="T510" s="691"/>
    </row>
    <row r="511" spans="1:20" ht="15.75">
      <c r="A511" s="979"/>
      <c r="B511" s="980" t="s">
        <v>79</v>
      </c>
      <c r="C511" s="1019" t="s">
        <v>80</v>
      </c>
      <c r="D511" s="1020">
        <v>4</v>
      </c>
      <c r="E511" s="983">
        <f>+O85</f>
        <v>0</v>
      </c>
      <c r="F511" s="984">
        <f t="shared" ref="F511:F516" si="48">+ROUND(E511*D511,0)</f>
        <v>0</v>
      </c>
      <c r="G511" s="772"/>
      <c r="J511" s="957"/>
      <c r="K511" s="957"/>
      <c r="L511" s="577"/>
      <c r="M511" s="577"/>
      <c r="N511" s="578"/>
      <c r="O511" s="578"/>
      <c r="P511" s="575"/>
      <c r="Q511" s="708"/>
      <c r="R511" s="708"/>
      <c r="S511" s="739"/>
      <c r="T511" s="691"/>
    </row>
    <row r="512" spans="1:20" ht="30">
      <c r="A512" s="979"/>
      <c r="B512" s="980" t="s">
        <v>130</v>
      </c>
      <c r="C512" s="996" t="s">
        <v>80</v>
      </c>
      <c r="D512" s="1017">
        <v>2.5</v>
      </c>
      <c r="E512" s="1004">
        <f>+O77</f>
        <v>0</v>
      </c>
      <c r="F512" s="984">
        <f t="shared" si="48"/>
        <v>0</v>
      </c>
      <c r="G512" s="772"/>
      <c r="J512" s="957"/>
      <c r="K512" s="957"/>
      <c r="L512" s="577"/>
      <c r="M512" s="577"/>
      <c r="N512" s="578"/>
      <c r="O512" s="578"/>
      <c r="P512" s="575"/>
      <c r="Q512" s="708"/>
      <c r="R512" s="708"/>
      <c r="S512" s="739"/>
      <c r="T512" s="691"/>
    </row>
    <row r="513" spans="1:20" ht="15.75">
      <c r="A513" s="979"/>
      <c r="B513" s="1000" t="s">
        <v>81</v>
      </c>
      <c r="C513" s="996" t="s">
        <v>62</v>
      </c>
      <c r="D513" s="997">
        <v>0.2</v>
      </c>
      <c r="E513" s="983">
        <f>+O107</f>
        <v>0</v>
      </c>
      <c r="F513" s="984">
        <f t="shared" si="48"/>
        <v>0</v>
      </c>
      <c r="G513" s="772"/>
      <c r="J513" s="957"/>
      <c r="K513" s="957"/>
      <c r="L513" s="577"/>
      <c r="M513" s="577"/>
      <c r="N513" s="578"/>
      <c r="O513" s="578"/>
      <c r="P513" s="575"/>
      <c r="Q513" s="708"/>
      <c r="R513" s="708"/>
      <c r="S513" s="739"/>
      <c r="T513" s="691"/>
    </row>
    <row r="514" spans="1:20" ht="15.75">
      <c r="A514" s="979"/>
      <c r="B514" s="1000" t="s">
        <v>170</v>
      </c>
      <c r="C514" s="996" t="s">
        <v>4</v>
      </c>
      <c r="D514" s="997">
        <f>((1*0.8*0.15)*2)*1.2</f>
        <v>0.28799999999999998</v>
      </c>
      <c r="E514" s="983">
        <f>+O115</f>
        <v>0</v>
      </c>
      <c r="F514" s="984">
        <f t="shared" si="48"/>
        <v>0</v>
      </c>
      <c r="G514" s="772"/>
      <c r="J514" s="957"/>
      <c r="K514" s="957"/>
      <c r="L514" s="577"/>
      <c r="M514" s="577"/>
      <c r="N514" s="578"/>
      <c r="O514" s="578"/>
      <c r="P514" s="575"/>
      <c r="Q514" s="708"/>
      <c r="R514" s="708"/>
      <c r="S514" s="739"/>
      <c r="T514" s="691"/>
    </row>
    <row r="515" spans="1:20" ht="15.75">
      <c r="A515" s="979"/>
      <c r="B515" s="1001" t="s">
        <v>135</v>
      </c>
      <c r="C515" s="981" t="s">
        <v>4</v>
      </c>
      <c r="D515" s="982">
        <f>+D514</f>
        <v>0.28799999999999998</v>
      </c>
      <c r="E515" s="983">
        <f>+O92</f>
        <v>0</v>
      </c>
      <c r="F515" s="984">
        <f t="shared" si="48"/>
        <v>0</v>
      </c>
      <c r="G515" s="772"/>
      <c r="J515" s="957"/>
      <c r="K515" s="957"/>
      <c r="L515" s="577"/>
      <c r="M515" s="577"/>
      <c r="N515" s="578"/>
      <c r="O515" s="578"/>
      <c r="P515" s="575"/>
      <c r="Q515" s="708"/>
      <c r="R515" s="708"/>
      <c r="S515" s="739"/>
      <c r="T515" s="691"/>
    </row>
    <row r="516" spans="1:20" ht="15.75">
      <c r="A516" s="979"/>
      <c r="B516" s="1001" t="s">
        <v>83</v>
      </c>
      <c r="C516" s="981" t="s">
        <v>4</v>
      </c>
      <c r="D516" s="982">
        <f>+D515</f>
        <v>0.28799999999999998</v>
      </c>
      <c r="E516" s="983">
        <f>+O100</f>
        <v>0</v>
      </c>
      <c r="F516" s="984">
        <f t="shared" si="48"/>
        <v>0</v>
      </c>
      <c r="G516" s="772"/>
      <c r="J516" s="957"/>
      <c r="K516" s="957"/>
      <c r="L516" s="577"/>
      <c r="M516" s="577"/>
      <c r="N516" s="578"/>
      <c r="O516" s="578"/>
      <c r="P516" s="575"/>
      <c r="Q516" s="708"/>
      <c r="R516" s="708"/>
      <c r="S516" s="739"/>
      <c r="T516" s="691"/>
    </row>
    <row r="517" spans="1:20" ht="15.75">
      <c r="A517" s="979"/>
      <c r="B517" s="1000"/>
      <c r="C517" s="981"/>
      <c r="D517" s="982"/>
      <c r="E517" s="983"/>
      <c r="F517" s="984"/>
      <c r="G517" s="772"/>
      <c r="J517" s="957"/>
      <c r="K517" s="957"/>
      <c r="L517" s="577"/>
      <c r="M517" s="577"/>
      <c r="N517" s="578"/>
      <c r="O517" s="578"/>
      <c r="P517" s="575"/>
      <c r="Q517" s="708"/>
      <c r="R517" s="708"/>
      <c r="S517" s="739"/>
      <c r="T517" s="691"/>
    </row>
    <row r="518" spans="1:20" ht="16.5" thickBot="1">
      <c r="A518" s="1105"/>
      <c r="B518" s="1106"/>
      <c r="C518" s="1107"/>
      <c r="D518" s="1108"/>
      <c r="E518" s="1026"/>
      <c r="F518" s="1109"/>
      <c r="G518" s="772"/>
      <c r="J518" s="957"/>
      <c r="K518" s="957"/>
      <c r="L518" s="577"/>
      <c r="M518" s="577"/>
      <c r="N518" s="578"/>
      <c r="O518" s="578"/>
      <c r="P518" s="575"/>
      <c r="Q518" s="708"/>
      <c r="R518" s="708"/>
      <c r="S518" s="739"/>
      <c r="T518" s="691"/>
    </row>
    <row r="519" spans="1:20" ht="16.5" thickBot="1">
      <c r="A519" s="728"/>
      <c r="B519" s="729"/>
      <c r="C519" s="728"/>
      <c r="D519" s="728"/>
      <c r="E519" s="728"/>
      <c r="F519" s="728"/>
      <c r="G519" s="171"/>
      <c r="J519" s="957"/>
      <c r="K519" s="957"/>
      <c r="L519" s="577"/>
      <c r="M519" s="577"/>
      <c r="N519" s="578"/>
      <c r="O519" s="578"/>
      <c r="P519" s="575"/>
      <c r="Q519" s="708"/>
      <c r="R519" s="708"/>
      <c r="S519" s="739"/>
      <c r="T519" s="691"/>
    </row>
    <row r="520" spans="1:20" ht="16.5" thickBot="1">
      <c r="A520" s="1906" t="s">
        <v>5</v>
      </c>
      <c r="B520" s="1907"/>
      <c r="C520" s="1907"/>
      <c r="D520" s="1907"/>
      <c r="E520" s="1907"/>
      <c r="F520" s="988">
        <f>ROUND(SUM(F511:F518),0)</f>
        <v>0</v>
      </c>
      <c r="G520" s="171"/>
      <c r="J520" s="957"/>
      <c r="K520" s="957"/>
      <c r="L520" s="577"/>
      <c r="M520" s="577"/>
      <c r="N520" s="578"/>
      <c r="O520" s="578"/>
      <c r="P520" s="575"/>
      <c r="Q520" s="708"/>
      <c r="R520" s="708"/>
      <c r="S520" s="739"/>
      <c r="T520" s="691"/>
    </row>
    <row r="521" spans="1:20" ht="16.5" thickBot="1">
      <c r="A521" s="956"/>
      <c r="B521" s="956"/>
      <c r="C521" s="956"/>
      <c r="D521" s="956"/>
      <c r="E521" s="956"/>
      <c r="F521" s="558"/>
      <c r="G521" s="171"/>
      <c r="J521" s="957"/>
      <c r="K521" s="957"/>
      <c r="L521" s="577"/>
      <c r="M521" s="577"/>
      <c r="N521" s="578"/>
      <c r="O521" s="578"/>
      <c r="P521" s="575"/>
      <c r="Q521" s="708"/>
      <c r="R521" s="708"/>
      <c r="S521" s="739"/>
      <c r="T521" s="691"/>
    </row>
    <row r="522" spans="1:20" ht="31.5" customHeight="1" thickBot="1">
      <c r="A522" s="1110"/>
      <c r="B522" s="1939" t="s">
        <v>452</v>
      </c>
      <c r="C522" s="1939"/>
      <c r="D522" s="1939"/>
      <c r="E522" s="1939"/>
      <c r="F522" s="1066" t="s">
        <v>214</v>
      </c>
      <c r="G522" s="171"/>
      <c r="J522" s="957"/>
      <c r="K522" s="957"/>
      <c r="L522" s="577"/>
      <c r="M522" s="577"/>
      <c r="N522" s="578"/>
      <c r="O522" s="578"/>
      <c r="P522" s="575"/>
      <c r="Q522" s="708"/>
      <c r="R522" s="708"/>
      <c r="S522" s="739"/>
      <c r="T522" s="691"/>
    </row>
    <row r="523" spans="1:20" ht="15.75">
      <c r="A523" s="1082" t="s">
        <v>578</v>
      </c>
      <c r="B523" s="1083" t="s">
        <v>7</v>
      </c>
      <c r="C523" s="1084" t="s">
        <v>0</v>
      </c>
      <c r="D523" s="1084" t="s">
        <v>8</v>
      </c>
      <c r="E523" s="1111" t="s">
        <v>2</v>
      </c>
      <c r="F523" s="1112" t="s">
        <v>9</v>
      </c>
      <c r="G523" s="171"/>
      <c r="J523" s="957"/>
      <c r="K523" s="957"/>
      <c r="L523" s="577"/>
      <c r="M523" s="577"/>
      <c r="N523" s="578"/>
      <c r="O523" s="578"/>
      <c r="P523" s="575"/>
      <c r="Q523" s="708"/>
      <c r="R523" s="708"/>
      <c r="S523" s="739"/>
      <c r="T523" s="691"/>
    </row>
    <row r="524" spans="1:20" ht="15.75">
      <c r="A524" s="998"/>
      <c r="B524" s="980" t="s">
        <v>79</v>
      </c>
      <c r="C524" s="996" t="s">
        <v>80</v>
      </c>
      <c r="D524" s="997">
        <v>4</v>
      </c>
      <c r="E524" s="983">
        <f>+O85</f>
        <v>0</v>
      </c>
      <c r="F524" s="994">
        <f t="shared" ref="F524:F536" si="49">+ROUND(E524*D524,0)</f>
        <v>0</v>
      </c>
      <c r="G524" s="171"/>
      <c r="J524" s="957"/>
      <c r="K524" s="957"/>
      <c r="L524" s="577"/>
      <c r="M524" s="577"/>
      <c r="N524" s="578"/>
      <c r="O524" s="578"/>
      <c r="P524" s="575"/>
      <c r="Q524" s="708"/>
      <c r="R524" s="708"/>
      <c r="S524" s="739"/>
      <c r="T524" s="691"/>
    </row>
    <row r="525" spans="1:20" ht="30">
      <c r="A525" s="1113"/>
      <c r="B525" s="980" t="s">
        <v>130</v>
      </c>
      <c r="C525" s="1114" t="s">
        <v>80</v>
      </c>
      <c r="D525" s="1115">
        <v>4</v>
      </c>
      <c r="E525" s="983">
        <f>+O77</f>
        <v>0</v>
      </c>
      <c r="F525" s="994">
        <f t="shared" si="49"/>
        <v>0</v>
      </c>
      <c r="G525" s="171"/>
      <c r="J525" s="957"/>
      <c r="K525" s="957"/>
      <c r="L525" s="577"/>
      <c r="M525" s="577"/>
      <c r="N525" s="578"/>
      <c r="O525" s="578"/>
      <c r="P525" s="575"/>
      <c r="Q525" s="708"/>
      <c r="R525" s="708"/>
      <c r="S525" s="739"/>
      <c r="T525" s="691"/>
    </row>
    <row r="526" spans="1:20" ht="15.75">
      <c r="A526" s="998"/>
      <c r="B526" s="1000" t="s">
        <v>159</v>
      </c>
      <c r="C526" s="996" t="s">
        <v>80</v>
      </c>
      <c r="D526" s="997">
        <f>+(1+1)*2</f>
        <v>4</v>
      </c>
      <c r="E526" s="983">
        <f>+O166</f>
        <v>0</v>
      </c>
      <c r="F526" s="994">
        <f t="shared" si="49"/>
        <v>0</v>
      </c>
      <c r="G526" s="171"/>
      <c r="J526" s="957"/>
      <c r="K526" s="957"/>
      <c r="L526" s="577"/>
      <c r="M526" s="577"/>
      <c r="N526" s="578"/>
      <c r="O526" s="578"/>
      <c r="P526" s="575"/>
      <c r="Q526" s="708"/>
      <c r="R526" s="708"/>
      <c r="S526" s="739"/>
      <c r="T526" s="691"/>
    </row>
    <row r="527" spans="1:20" ht="15.75">
      <c r="A527" s="998"/>
      <c r="B527" s="1000" t="s">
        <v>160</v>
      </c>
      <c r="C527" s="996" t="s">
        <v>3</v>
      </c>
      <c r="D527" s="1017">
        <f>1.1*1.2</f>
        <v>1.32</v>
      </c>
      <c r="E527" s="983">
        <f>+O174</f>
        <v>0</v>
      </c>
      <c r="F527" s="994">
        <f t="shared" si="49"/>
        <v>0</v>
      </c>
      <c r="G527" s="171"/>
      <c r="J527" s="957"/>
      <c r="K527" s="957"/>
      <c r="L527" s="577"/>
      <c r="M527" s="577"/>
      <c r="N527" s="578"/>
      <c r="O527" s="578"/>
      <c r="P527" s="575"/>
      <c r="Q527" s="708"/>
      <c r="R527" s="708"/>
      <c r="S527" s="739"/>
      <c r="T527" s="691"/>
    </row>
    <row r="528" spans="1:20" ht="15.75">
      <c r="A528" s="1113"/>
      <c r="B528" s="1000" t="s">
        <v>150</v>
      </c>
      <c r="C528" s="996" t="s">
        <v>4</v>
      </c>
      <c r="D528" s="997">
        <f>1.1*1.1*1.15</f>
        <v>1.3915000000000002</v>
      </c>
      <c r="E528" s="1004">
        <f>+O332</f>
        <v>0</v>
      </c>
      <c r="F528" s="994">
        <f t="shared" si="49"/>
        <v>0</v>
      </c>
      <c r="G528" s="171"/>
      <c r="J528" s="957"/>
      <c r="K528" s="957"/>
      <c r="L528" s="577"/>
      <c r="M528" s="577"/>
      <c r="N528" s="578"/>
      <c r="O528" s="578"/>
      <c r="P528" s="575"/>
      <c r="Q528" s="708"/>
      <c r="R528" s="708"/>
      <c r="S528" s="739"/>
      <c r="T528" s="691"/>
    </row>
    <row r="529" spans="1:20" ht="15.75">
      <c r="A529" s="998"/>
      <c r="B529" s="1000" t="s">
        <v>135</v>
      </c>
      <c r="C529" s="996" t="s">
        <v>4</v>
      </c>
      <c r="D529" s="997">
        <f>+(D528)*1.2</f>
        <v>1.6698000000000002</v>
      </c>
      <c r="E529" s="983">
        <f>+E515</f>
        <v>0</v>
      </c>
      <c r="F529" s="994">
        <f t="shared" si="49"/>
        <v>0</v>
      </c>
      <c r="G529" s="171"/>
      <c r="J529" s="957"/>
      <c r="K529" s="957"/>
      <c r="L529" s="577"/>
      <c r="M529" s="577"/>
      <c r="N529" s="578"/>
      <c r="O529" s="578"/>
      <c r="P529" s="575"/>
      <c r="Q529" s="708"/>
      <c r="R529" s="708"/>
      <c r="S529" s="739"/>
      <c r="T529" s="691"/>
    </row>
    <row r="530" spans="1:20" ht="15.75">
      <c r="A530" s="998"/>
      <c r="B530" s="1000" t="s">
        <v>83</v>
      </c>
      <c r="C530" s="996" t="s">
        <v>4</v>
      </c>
      <c r="D530" s="997">
        <f>+D529</f>
        <v>1.6698000000000002</v>
      </c>
      <c r="E530" s="983">
        <f>+O100</f>
        <v>0</v>
      </c>
      <c r="F530" s="994">
        <f t="shared" si="49"/>
        <v>0</v>
      </c>
      <c r="G530" s="171"/>
      <c r="J530" s="957"/>
      <c r="K530" s="957"/>
      <c r="L530" s="577"/>
      <c r="M530" s="577"/>
      <c r="N530" s="578"/>
      <c r="O530" s="578"/>
      <c r="P530" s="575"/>
      <c r="Q530" s="708"/>
      <c r="R530" s="708"/>
      <c r="S530" s="739"/>
      <c r="T530" s="691"/>
    </row>
    <row r="531" spans="1:20" ht="15.75">
      <c r="A531" s="1113"/>
      <c r="B531" s="1000" t="s">
        <v>161</v>
      </c>
      <c r="C531" s="996" t="s">
        <v>4</v>
      </c>
      <c r="D531" s="997">
        <f>0.8*0.8*0.2</f>
        <v>0.12800000000000003</v>
      </c>
      <c r="E531" s="983">
        <f>+O366</f>
        <v>0</v>
      </c>
      <c r="F531" s="994">
        <f t="shared" si="49"/>
        <v>0</v>
      </c>
      <c r="G531" s="171"/>
      <c r="J531" s="957"/>
      <c r="K531" s="957"/>
      <c r="L531" s="577"/>
      <c r="M531" s="577"/>
      <c r="N531" s="578"/>
      <c r="O531" s="578"/>
      <c r="P531" s="575"/>
      <c r="Q531" s="708"/>
      <c r="R531" s="708"/>
      <c r="S531" s="739"/>
      <c r="T531" s="691"/>
    </row>
    <row r="532" spans="1:20" ht="15.75">
      <c r="A532" s="998"/>
      <c r="B532" s="1000" t="s">
        <v>84</v>
      </c>
      <c r="C532" s="996" t="s">
        <v>3</v>
      </c>
      <c r="D532" s="997">
        <f>1*0.8*4+1</f>
        <v>4.2</v>
      </c>
      <c r="E532" s="983">
        <f>+O140</f>
        <v>0</v>
      </c>
      <c r="F532" s="994">
        <f t="shared" si="49"/>
        <v>0</v>
      </c>
      <c r="G532" s="171"/>
      <c r="J532" s="957"/>
      <c r="K532" s="957"/>
      <c r="L532" s="577"/>
      <c r="M532" s="577"/>
      <c r="N532" s="578"/>
      <c r="O532" s="578"/>
      <c r="P532" s="575"/>
      <c r="Q532" s="708"/>
      <c r="R532" s="708"/>
      <c r="S532" s="739"/>
      <c r="T532" s="691"/>
    </row>
    <row r="533" spans="1:20" ht="15.75">
      <c r="A533" s="998"/>
      <c r="B533" s="980" t="s">
        <v>251</v>
      </c>
      <c r="C533" s="996" t="s">
        <v>63</v>
      </c>
      <c r="D533" s="997">
        <v>12</v>
      </c>
      <c r="E533" s="983">
        <f>+O183</f>
        <v>0</v>
      </c>
      <c r="F533" s="994">
        <f t="shared" si="49"/>
        <v>0</v>
      </c>
      <c r="G533" s="171"/>
      <c r="J533" s="957"/>
      <c r="K533" s="957"/>
      <c r="L533" s="577"/>
      <c r="M533" s="577"/>
      <c r="N533" s="578"/>
      <c r="O533" s="578"/>
      <c r="P533" s="575"/>
      <c r="Q533" s="708"/>
      <c r="R533" s="708"/>
      <c r="S533" s="739"/>
      <c r="T533" s="691"/>
    </row>
    <row r="534" spans="1:20" ht="15.75">
      <c r="A534" s="1113"/>
      <c r="B534" s="1000" t="s">
        <v>141</v>
      </c>
      <c r="C534" s="996" t="s">
        <v>4</v>
      </c>
      <c r="D534" s="997">
        <f>+AK373</f>
        <v>0.42429203673205107</v>
      </c>
      <c r="E534" s="983">
        <f>+O128</f>
        <v>0</v>
      </c>
      <c r="F534" s="994">
        <f t="shared" si="49"/>
        <v>0</v>
      </c>
      <c r="G534" s="171"/>
      <c r="J534" s="957"/>
      <c r="K534" s="957"/>
      <c r="L534" s="577"/>
      <c r="M534" s="577"/>
      <c r="N534" s="578"/>
      <c r="O534" s="578"/>
      <c r="P534" s="575"/>
      <c r="Q534" s="708"/>
      <c r="R534" s="708"/>
      <c r="S534" s="739"/>
      <c r="T534" s="691"/>
    </row>
    <row r="535" spans="1:20" ht="30">
      <c r="A535" s="998"/>
      <c r="B535" s="980" t="s">
        <v>162</v>
      </c>
      <c r="C535" s="981" t="s">
        <v>3</v>
      </c>
      <c r="D535" s="982">
        <f>1*2+0.8*2</f>
        <v>3.6</v>
      </c>
      <c r="E535" s="983">
        <f>+O148</f>
        <v>0</v>
      </c>
      <c r="F535" s="994">
        <f t="shared" si="49"/>
        <v>0</v>
      </c>
      <c r="G535" s="956"/>
      <c r="J535" s="957"/>
      <c r="K535" s="957"/>
      <c r="L535" s="577"/>
      <c r="M535" s="577"/>
      <c r="N535" s="578"/>
      <c r="O535" s="578"/>
      <c r="P535" s="575"/>
      <c r="Q535" s="708"/>
      <c r="R535" s="708"/>
      <c r="S535" s="739"/>
      <c r="T535" s="691"/>
    </row>
    <row r="536" spans="1:20" ht="15.75">
      <c r="A536" s="998"/>
      <c r="B536" s="980" t="s">
        <v>165</v>
      </c>
      <c r="C536" s="981" t="s">
        <v>62</v>
      </c>
      <c r="D536" s="982">
        <v>1</v>
      </c>
      <c r="E536" s="983">
        <f>+O229</f>
        <v>0</v>
      </c>
      <c r="F536" s="994">
        <f t="shared" si="49"/>
        <v>0</v>
      </c>
      <c r="G536" s="956"/>
      <c r="J536" s="957"/>
      <c r="K536" s="957"/>
      <c r="L536" s="577"/>
      <c r="M536" s="577"/>
      <c r="N536" s="578"/>
      <c r="O536" s="578"/>
      <c r="P536" s="575"/>
      <c r="Q536" s="708"/>
      <c r="R536" s="708"/>
      <c r="S536" s="739"/>
      <c r="T536" s="691"/>
    </row>
    <row r="537" spans="1:20" ht="16.5" thickBot="1">
      <c r="A537" s="1116"/>
      <c r="B537" s="1117"/>
      <c r="C537" s="171"/>
      <c r="D537" s="1118"/>
      <c r="E537" s="1119"/>
      <c r="F537" s="74"/>
      <c r="G537" s="956"/>
      <c r="J537" s="957"/>
      <c r="K537" s="957"/>
      <c r="L537" s="577"/>
      <c r="M537" s="577"/>
      <c r="N537" s="578"/>
      <c r="O537" s="578"/>
      <c r="P537" s="575"/>
      <c r="Q537" s="708"/>
      <c r="R537" s="708"/>
      <c r="S537" s="739"/>
      <c r="T537" s="691"/>
    </row>
    <row r="538" spans="1:20" ht="16.5" thickBot="1">
      <c r="A538" s="1789" t="s">
        <v>5</v>
      </c>
      <c r="B538" s="1790"/>
      <c r="C538" s="1790"/>
      <c r="D538" s="1790"/>
      <c r="E538" s="1791"/>
      <c r="F538" s="1120">
        <f>ROUND(SUM(F524:F536),0)</f>
        <v>0</v>
      </c>
      <c r="G538" s="956"/>
      <c r="J538" s="957"/>
      <c r="K538" s="957"/>
      <c r="L538" s="577"/>
      <c r="M538" s="577"/>
      <c r="N538" s="578"/>
      <c r="O538" s="578"/>
      <c r="P538" s="575"/>
      <c r="Q538" s="708"/>
      <c r="R538" s="708"/>
      <c r="S538" s="739"/>
      <c r="T538" s="691"/>
    </row>
    <row r="539" spans="1:20" ht="15.75">
      <c r="A539" s="956"/>
      <c r="B539" s="956"/>
      <c r="C539" s="956"/>
      <c r="D539" s="956"/>
      <c r="E539" s="956"/>
      <c r="F539" s="558"/>
      <c r="G539" s="956"/>
      <c r="J539" s="957"/>
      <c r="K539" s="957"/>
      <c r="L539" s="577"/>
      <c r="M539" s="577"/>
      <c r="N539" s="578"/>
      <c r="O539" s="578"/>
      <c r="P539" s="575"/>
      <c r="Q539" s="708"/>
      <c r="R539" s="708"/>
      <c r="S539" s="739"/>
      <c r="T539" s="691"/>
    </row>
    <row r="540" spans="1:20" ht="15.75">
      <c r="A540" s="956"/>
      <c r="B540" s="956"/>
      <c r="C540" s="956"/>
      <c r="D540" s="956"/>
      <c r="E540" s="956"/>
      <c r="F540" s="558"/>
      <c r="G540" s="956"/>
      <c r="J540" s="957"/>
      <c r="K540" s="957"/>
      <c r="L540" s="577"/>
      <c r="M540" s="577"/>
      <c r="N540" s="578"/>
      <c r="O540" s="578"/>
      <c r="P540" s="575"/>
      <c r="Q540" s="708"/>
      <c r="R540" s="708"/>
      <c r="S540" s="739"/>
      <c r="T540" s="691"/>
    </row>
    <row r="541" spans="1:20" ht="16.5" thickBot="1">
      <c r="A541" s="956"/>
      <c r="B541" s="956"/>
      <c r="C541" s="956"/>
      <c r="D541" s="956"/>
      <c r="E541" s="956"/>
      <c r="F541" s="558"/>
      <c r="G541" s="956"/>
      <c r="J541" s="957"/>
      <c r="K541" s="957"/>
      <c r="L541" s="577"/>
      <c r="M541" s="577"/>
      <c r="N541" s="578"/>
      <c r="O541" s="578"/>
      <c r="P541" s="575"/>
      <c r="Q541" s="708"/>
      <c r="R541" s="708"/>
      <c r="S541" s="739"/>
      <c r="T541" s="691"/>
    </row>
    <row r="542" spans="1:20" ht="16.5" thickBot="1">
      <c r="A542" s="973"/>
      <c r="B542" s="1792" t="s">
        <v>453</v>
      </c>
      <c r="C542" s="1793"/>
      <c r="D542" s="1793"/>
      <c r="E542" s="1794"/>
      <c r="F542" s="1121"/>
      <c r="G542" s="974" t="s">
        <v>158</v>
      </c>
      <c r="J542" s="957"/>
      <c r="K542" s="957"/>
      <c r="L542" s="577"/>
      <c r="M542" s="577"/>
      <c r="N542" s="578"/>
      <c r="O542" s="578"/>
      <c r="P542" s="575"/>
      <c r="Q542" s="708"/>
      <c r="R542" s="708"/>
      <c r="S542" s="739"/>
      <c r="T542" s="691"/>
    </row>
    <row r="543" spans="1:20" ht="15.75">
      <c r="A543" s="1122" t="s">
        <v>579</v>
      </c>
      <c r="B543" s="1123" t="s">
        <v>7</v>
      </c>
      <c r="C543" s="1124" t="s">
        <v>0</v>
      </c>
      <c r="D543" s="1124" t="s">
        <v>8</v>
      </c>
      <c r="E543" s="1124" t="s">
        <v>2</v>
      </c>
      <c r="F543" s="1038" t="s">
        <v>387</v>
      </c>
      <c r="G543" s="1125" t="s">
        <v>9</v>
      </c>
      <c r="J543" s="957"/>
      <c r="K543" s="957"/>
      <c r="L543" s="577"/>
      <c r="M543" s="577"/>
      <c r="N543" s="578"/>
      <c r="O543" s="578"/>
      <c r="P543" s="575"/>
      <c r="Q543" s="708"/>
      <c r="R543" s="708"/>
      <c r="S543" s="739"/>
      <c r="T543" s="691"/>
    </row>
    <row r="544" spans="1:20" ht="30">
      <c r="A544" s="979"/>
      <c r="B544" s="980" t="s">
        <v>130</v>
      </c>
      <c r="C544" s="1019" t="s">
        <v>80</v>
      </c>
      <c r="D544" s="1020">
        <v>4</v>
      </c>
      <c r="E544" s="983">
        <f>+O77</f>
        <v>0</v>
      </c>
      <c r="F544" s="1090">
        <v>1</v>
      </c>
      <c r="G544" s="984">
        <f>+ROUND(E544*D544*F544,0)</f>
        <v>0</v>
      </c>
      <c r="J544" s="957"/>
      <c r="K544" s="957"/>
      <c r="L544" s="577"/>
      <c r="M544" s="577"/>
      <c r="N544" s="578"/>
      <c r="O544" s="578"/>
      <c r="P544" s="575"/>
      <c r="Q544" s="708"/>
      <c r="R544" s="708"/>
      <c r="S544" s="739"/>
      <c r="T544" s="691"/>
    </row>
    <row r="545" spans="1:20" ht="15.75">
      <c r="A545" s="1126"/>
      <c r="B545" s="1127" t="s">
        <v>454</v>
      </c>
      <c r="C545" s="1128" t="s">
        <v>77</v>
      </c>
      <c r="D545" s="1129">
        <v>1</v>
      </c>
      <c r="E545" s="1032"/>
      <c r="F545" s="1090">
        <v>0.2</v>
      </c>
      <c r="G545" s="984">
        <f t="shared" ref="G545:G548" si="50">+ROUND(E545*D545*F545,0)</f>
        <v>0</v>
      </c>
      <c r="J545" s="957"/>
      <c r="K545" s="957"/>
      <c r="L545" s="577"/>
      <c r="M545" s="577"/>
      <c r="N545" s="578"/>
      <c r="O545" s="578"/>
      <c r="P545" s="575"/>
      <c r="Q545" s="708"/>
      <c r="R545" s="708"/>
      <c r="S545" s="739"/>
      <c r="T545" s="691"/>
    </row>
    <row r="546" spans="1:20" ht="15.75">
      <c r="A546" s="1130"/>
      <c r="B546" s="1131" t="s">
        <v>78</v>
      </c>
      <c r="C546" s="996" t="s">
        <v>77</v>
      </c>
      <c r="D546" s="997">
        <v>1</v>
      </c>
      <c r="E546" s="983"/>
      <c r="F546" s="1090">
        <v>0.15</v>
      </c>
      <c r="G546" s="984">
        <f t="shared" si="50"/>
        <v>0</v>
      </c>
      <c r="J546" s="957"/>
      <c r="K546" s="957"/>
      <c r="L546" s="577"/>
      <c r="M546" s="577"/>
      <c r="N546" s="578"/>
      <c r="O546" s="578"/>
      <c r="P546" s="575"/>
      <c r="Q546" s="708"/>
      <c r="R546" s="708"/>
      <c r="S546" s="739"/>
      <c r="T546" s="691"/>
    </row>
    <row r="547" spans="1:20" ht="15.75">
      <c r="A547" s="1132"/>
      <c r="B547" s="980" t="s">
        <v>135</v>
      </c>
      <c r="C547" s="981" t="s">
        <v>3</v>
      </c>
      <c r="D547" s="1002">
        <v>1</v>
      </c>
      <c r="E547" s="983">
        <f>+E560</f>
        <v>0</v>
      </c>
      <c r="F547" s="1090">
        <v>0.5</v>
      </c>
      <c r="G547" s="984">
        <f t="shared" si="50"/>
        <v>0</v>
      </c>
      <c r="J547" s="957"/>
      <c r="K547" s="957"/>
      <c r="L547" s="577"/>
      <c r="M547" s="577"/>
      <c r="N547" s="578"/>
      <c r="O547" s="578"/>
      <c r="P547" s="575"/>
      <c r="Q547" s="708"/>
      <c r="R547" s="708"/>
      <c r="S547" s="739"/>
      <c r="T547" s="691"/>
    </row>
    <row r="548" spans="1:20" ht="15.75">
      <c r="A548" s="1132"/>
      <c r="B548" s="980" t="s">
        <v>455</v>
      </c>
      <c r="C548" s="981" t="s">
        <v>3</v>
      </c>
      <c r="D548" s="1002">
        <f>+D547</f>
        <v>1</v>
      </c>
      <c r="E548" s="983"/>
      <c r="F548" s="1090">
        <v>1</v>
      </c>
      <c r="G548" s="984">
        <f t="shared" si="50"/>
        <v>0</v>
      </c>
      <c r="J548" s="957"/>
      <c r="K548" s="957"/>
      <c r="L548" s="577"/>
      <c r="M548" s="577"/>
      <c r="N548" s="578"/>
      <c r="O548" s="578"/>
      <c r="P548" s="575"/>
      <c r="Q548" s="708"/>
      <c r="R548" s="708"/>
      <c r="S548" s="739"/>
      <c r="T548" s="691"/>
    </row>
    <row r="549" spans="1:20" ht="16.5" thickBot="1">
      <c r="A549" s="1133"/>
      <c r="B549" s="1029"/>
      <c r="C549" s="1133"/>
      <c r="D549" s="1133"/>
      <c r="E549" s="1133"/>
      <c r="F549" s="1103"/>
      <c r="G549" s="1133"/>
      <c r="J549" s="957"/>
      <c r="K549" s="957"/>
      <c r="L549" s="577"/>
      <c r="M549" s="577"/>
      <c r="N549" s="578"/>
      <c r="O549" s="578"/>
      <c r="P549" s="575"/>
      <c r="Q549" s="708"/>
      <c r="R549" s="708"/>
      <c r="S549" s="739"/>
      <c r="T549" s="691"/>
    </row>
    <row r="550" spans="1:20" ht="16.5" thickBot="1">
      <c r="A550" s="882" t="s">
        <v>5</v>
      </c>
      <c r="B550" s="883"/>
      <c r="C550" s="883"/>
      <c r="D550" s="883"/>
      <c r="E550" s="1134"/>
      <c r="F550" s="1121"/>
      <c r="G550" s="988">
        <f>ROUND(SUM(G544:G548),0)</f>
        <v>0</v>
      </c>
      <c r="J550" s="957"/>
      <c r="K550" s="957"/>
      <c r="L550" s="577"/>
      <c r="M550" s="577"/>
      <c r="N550" s="578"/>
      <c r="O550" s="578"/>
      <c r="P550" s="575"/>
      <c r="Q550" s="708"/>
      <c r="R550" s="708"/>
      <c r="S550" s="739"/>
      <c r="T550" s="691"/>
    </row>
    <row r="551" spans="1:20" ht="15.75">
      <c r="A551" s="172"/>
      <c r="B551" s="1135"/>
      <c r="C551" s="172"/>
      <c r="D551" s="172"/>
      <c r="E551" s="172"/>
      <c r="F551" s="172"/>
      <c r="G551" s="171"/>
      <c r="J551" s="957"/>
      <c r="K551" s="957"/>
      <c r="L551" s="577"/>
      <c r="M551" s="577"/>
      <c r="N551" s="578"/>
      <c r="O551" s="578"/>
      <c r="P551" s="575"/>
      <c r="Q551" s="708"/>
      <c r="R551" s="708"/>
      <c r="S551" s="739"/>
      <c r="T551" s="691"/>
    </row>
    <row r="552" spans="1:20" ht="16.5" thickBot="1">
      <c r="A552" s="172"/>
      <c r="B552" s="1135"/>
      <c r="C552" s="172"/>
      <c r="D552" s="172"/>
      <c r="E552" s="172"/>
      <c r="F552" s="172"/>
      <c r="G552" s="171"/>
      <c r="J552" s="957"/>
      <c r="K552" s="957"/>
      <c r="L552" s="577"/>
      <c r="M552" s="577"/>
      <c r="N552" s="578"/>
      <c r="O552" s="578"/>
      <c r="P552" s="575"/>
      <c r="Q552" s="708"/>
      <c r="R552" s="708"/>
      <c r="S552" s="739"/>
      <c r="T552" s="691"/>
    </row>
    <row r="553" spans="1:20" ht="16.5" thickBot="1">
      <c r="A553" s="973"/>
      <c r="B553" s="1792" t="s">
        <v>457</v>
      </c>
      <c r="C553" s="1793"/>
      <c r="D553" s="1793"/>
      <c r="E553" s="1794"/>
      <c r="F553" s="974" t="s">
        <v>399</v>
      </c>
      <c r="G553" s="171"/>
      <c r="J553" s="957"/>
      <c r="K553" s="957"/>
      <c r="L553" s="577"/>
      <c r="M553" s="577"/>
      <c r="N553" s="578"/>
      <c r="O553" s="578"/>
      <c r="P553" s="575"/>
      <c r="Q553" s="708"/>
      <c r="R553" s="708"/>
      <c r="S553" s="739"/>
      <c r="T553" s="691"/>
    </row>
    <row r="554" spans="1:20" ht="16.5" thickBot="1">
      <c r="A554" s="1011" t="s">
        <v>580</v>
      </c>
      <c r="B554" s="1012" t="s">
        <v>7</v>
      </c>
      <c r="C554" s="1013" t="s">
        <v>0</v>
      </c>
      <c r="D554" s="1013" t="s">
        <v>8</v>
      </c>
      <c r="E554" s="1013" t="s">
        <v>2</v>
      </c>
      <c r="F554" s="1136" t="s">
        <v>9</v>
      </c>
      <c r="G554" s="171"/>
      <c r="J554" s="957"/>
      <c r="K554" s="957"/>
      <c r="L554" s="577"/>
      <c r="M554" s="577"/>
      <c r="N554" s="578"/>
      <c r="O554" s="578"/>
      <c r="P554" s="575"/>
      <c r="Q554" s="708"/>
      <c r="R554" s="708"/>
      <c r="S554" s="739"/>
      <c r="T554" s="691"/>
    </row>
    <row r="555" spans="1:20" ht="15.75">
      <c r="A555" s="1137"/>
      <c r="B555" s="1138" t="s">
        <v>79</v>
      </c>
      <c r="C555" s="1139" t="s">
        <v>80</v>
      </c>
      <c r="D555" s="1140">
        <v>2.66</v>
      </c>
      <c r="E555" s="1141">
        <f>+O85</f>
        <v>0</v>
      </c>
      <c r="F555" s="1142">
        <f t="shared" ref="F555:F564" si="51">+ROUND(D555*E555,0)</f>
        <v>0</v>
      </c>
      <c r="G555" s="171"/>
      <c r="J555" s="957"/>
      <c r="K555" s="957"/>
      <c r="L555" s="577"/>
      <c r="M555" s="577"/>
      <c r="N555" s="578"/>
      <c r="O555" s="578"/>
      <c r="P555" s="575"/>
      <c r="Q555" s="708"/>
      <c r="R555" s="708"/>
      <c r="S555" s="739"/>
      <c r="T555" s="691"/>
    </row>
    <row r="556" spans="1:20" ht="30">
      <c r="A556" s="1137"/>
      <c r="B556" s="1143" t="s">
        <v>130</v>
      </c>
      <c r="C556" s="1019" t="s">
        <v>80</v>
      </c>
      <c r="D556" s="1020">
        <v>2.66</v>
      </c>
      <c r="E556" s="983">
        <f>+O77</f>
        <v>0</v>
      </c>
      <c r="F556" s="984">
        <f t="shared" si="51"/>
        <v>0</v>
      </c>
      <c r="G556" s="171"/>
      <c r="J556" s="957"/>
      <c r="K556" s="957"/>
      <c r="L556" s="577"/>
      <c r="M556" s="577"/>
      <c r="N556" s="578"/>
      <c r="O556" s="578"/>
      <c r="P556" s="575"/>
      <c r="Q556" s="708"/>
      <c r="R556" s="708"/>
      <c r="S556" s="739"/>
      <c r="T556" s="691"/>
    </row>
    <row r="557" spans="1:20" ht="15.75">
      <c r="A557" s="1144"/>
      <c r="B557" s="1145" t="s">
        <v>81</v>
      </c>
      <c r="C557" s="981" t="s">
        <v>62</v>
      </c>
      <c r="D557" s="1140">
        <v>0.2</v>
      </c>
      <c r="E557" s="983">
        <f>O107</f>
        <v>0</v>
      </c>
      <c r="F557" s="984">
        <f t="shared" si="51"/>
        <v>0</v>
      </c>
      <c r="G557" s="171"/>
      <c r="J557" s="957"/>
      <c r="K557" s="957"/>
      <c r="L557" s="577"/>
      <c r="M557" s="577"/>
      <c r="N557" s="578"/>
      <c r="O557" s="578"/>
      <c r="P557" s="575"/>
      <c r="Q557" s="708"/>
      <c r="R557" s="708"/>
      <c r="S557" s="739"/>
      <c r="T557" s="691"/>
    </row>
    <row r="558" spans="1:20" ht="15.75">
      <c r="A558" s="1144"/>
      <c r="B558" s="999" t="s">
        <v>159</v>
      </c>
      <c r="C558" s="981" t="s">
        <v>80</v>
      </c>
      <c r="D558" s="1020">
        <v>2.4</v>
      </c>
      <c r="E558" s="983">
        <f>+O166</f>
        <v>0</v>
      </c>
      <c r="F558" s="984">
        <f t="shared" si="51"/>
        <v>0</v>
      </c>
      <c r="G558" s="171"/>
      <c r="J558" s="957"/>
      <c r="K558" s="957"/>
      <c r="L558" s="577"/>
      <c r="M558" s="577"/>
      <c r="N558" s="578"/>
      <c r="O558" s="578"/>
      <c r="P558" s="575"/>
      <c r="Q558" s="708"/>
      <c r="R558" s="708"/>
      <c r="S558" s="739"/>
      <c r="T558" s="691"/>
    </row>
    <row r="559" spans="1:20" ht="15.75">
      <c r="A559" s="1146"/>
      <c r="B559" s="999" t="s">
        <v>160</v>
      </c>
      <c r="C559" s="1139" t="s">
        <v>3</v>
      </c>
      <c r="D559" s="1020">
        <f>((1.7+0.15*2)+(1.4*0.15*2))/3</f>
        <v>0.80666666666666664</v>
      </c>
      <c r="E559" s="983">
        <f>+O174</f>
        <v>0</v>
      </c>
      <c r="F559" s="984">
        <f t="shared" si="51"/>
        <v>0</v>
      </c>
      <c r="G559" s="171"/>
      <c r="J559" s="957"/>
      <c r="K559" s="957"/>
      <c r="L559" s="577"/>
      <c r="M559" s="577"/>
      <c r="N559" s="578"/>
      <c r="O559" s="578"/>
      <c r="P559" s="575"/>
      <c r="Q559" s="708"/>
      <c r="R559" s="708"/>
      <c r="S559" s="739"/>
      <c r="T559" s="691"/>
    </row>
    <row r="560" spans="1:20" ht="15.75">
      <c r="A560" s="1146"/>
      <c r="B560" s="980" t="s">
        <v>135</v>
      </c>
      <c r="C560" s="981" t="s">
        <v>4</v>
      </c>
      <c r="D560" s="1002">
        <f>+D559*0.15*1.2</f>
        <v>0.1452</v>
      </c>
      <c r="E560" s="983">
        <f>+O92</f>
        <v>0</v>
      </c>
      <c r="F560" s="984">
        <f t="shared" si="51"/>
        <v>0</v>
      </c>
      <c r="G560" s="171"/>
      <c r="J560" s="957"/>
      <c r="K560" s="957"/>
      <c r="L560" s="577"/>
      <c r="M560" s="577"/>
      <c r="N560" s="578"/>
      <c r="O560" s="578"/>
      <c r="P560" s="575"/>
      <c r="Q560" s="708"/>
      <c r="R560" s="708"/>
      <c r="S560" s="739"/>
      <c r="T560" s="691"/>
    </row>
    <row r="561" spans="1:20" ht="15.75">
      <c r="A561" s="1146"/>
      <c r="B561" s="980" t="s">
        <v>83</v>
      </c>
      <c r="C561" s="981" t="s">
        <v>4</v>
      </c>
      <c r="D561" s="1002">
        <f>+D560</f>
        <v>0.1452</v>
      </c>
      <c r="E561" s="983">
        <f>+O100</f>
        <v>0</v>
      </c>
      <c r="F561" s="984">
        <f t="shared" si="51"/>
        <v>0</v>
      </c>
      <c r="G561" s="171"/>
      <c r="J561" s="957"/>
      <c r="K561" s="957"/>
      <c r="L561" s="577"/>
      <c r="M561" s="577"/>
      <c r="N561" s="578"/>
      <c r="O561" s="578"/>
      <c r="P561" s="575"/>
      <c r="Q561" s="708"/>
      <c r="R561" s="708"/>
      <c r="S561" s="739"/>
      <c r="T561" s="691"/>
    </row>
    <row r="562" spans="1:20" ht="15.75">
      <c r="A562" s="1146"/>
      <c r="B562" s="1001" t="s">
        <v>251</v>
      </c>
      <c r="C562" s="1006" t="s">
        <v>146</v>
      </c>
      <c r="D562" s="1147">
        <v>14.5</v>
      </c>
      <c r="E562" s="1004">
        <f>+O183</f>
        <v>0</v>
      </c>
      <c r="F562" s="984">
        <f t="shared" si="51"/>
        <v>0</v>
      </c>
      <c r="G562" s="171"/>
      <c r="J562" s="957"/>
      <c r="K562" s="957"/>
      <c r="L562" s="577"/>
      <c r="M562" s="577"/>
      <c r="N562" s="578"/>
      <c r="O562" s="578"/>
      <c r="P562" s="575"/>
      <c r="Q562" s="708"/>
      <c r="R562" s="708"/>
      <c r="S562" s="739"/>
      <c r="T562" s="691"/>
    </row>
    <row r="563" spans="1:20" ht="15.75">
      <c r="A563" s="1146"/>
      <c r="B563" s="1001" t="s">
        <v>84</v>
      </c>
      <c r="C563" s="981" t="s">
        <v>3</v>
      </c>
      <c r="D563" s="1002">
        <v>1</v>
      </c>
      <c r="E563" s="983">
        <f>+O140</f>
        <v>0</v>
      </c>
      <c r="F563" s="984">
        <f t="shared" si="51"/>
        <v>0</v>
      </c>
      <c r="G563" s="772"/>
      <c r="J563" s="957"/>
      <c r="K563" s="957"/>
      <c r="L563" s="577"/>
      <c r="M563" s="577"/>
      <c r="N563" s="578"/>
      <c r="O563" s="578"/>
      <c r="P563" s="575"/>
      <c r="Q563" s="708"/>
      <c r="R563" s="708"/>
      <c r="S563" s="739"/>
      <c r="T563" s="691"/>
    </row>
    <row r="564" spans="1:20" ht="16.5" thickBot="1">
      <c r="A564" s="1148"/>
      <c r="B564" s="1149" t="s">
        <v>141</v>
      </c>
      <c r="C564" s="1150" t="s">
        <v>4</v>
      </c>
      <c r="D564" s="1151">
        <f>1*0.15*1</f>
        <v>0.15</v>
      </c>
      <c r="E564" s="1152">
        <f>+W128</f>
        <v>0</v>
      </c>
      <c r="F564" s="1153">
        <f t="shared" si="51"/>
        <v>0</v>
      </c>
      <c r="G564" s="772"/>
      <c r="J564" s="957"/>
      <c r="K564" s="957"/>
      <c r="L564" s="577"/>
      <c r="M564" s="577"/>
      <c r="N564" s="578"/>
      <c r="O564" s="578"/>
      <c r="P564" s="575"/>
      <c r="Q564" s="708"/>
      <c r="R564" s="708"/>
      <c r="S564" s="739"/>
      <c r="T564" s="691"/>
    </row>
    <row r="565" spans="1:20" ht="16.5" thickBot="1">
      <c r="A565" s="1154"/>
      <c r="B565" s="1155"/>
      <c r="C565" s="1156"/>
      <c r="D565" s="1156"/>
      <c r="E565" s="1156"/>
      <c r="F565" s="1157"/>
      <c r="G565" s="772"/>
      <c r="J565" s="957"/>
      <c r="K565" s="957"/>
      <c r="L565" s="577"/>
      <c r="M565" s="577"/>
      <c r="N565" s="578"/>
      <c r="O565" s="578"/>
      <c r="P565" s="575"/>
      <c r="Q565" s="708"/>
      <c r="R565" s="708"/>
      <c r="S565" s="739"/>
      <c r="T565" s="691"/>
    </row>
    <row r="566" spans="1:20" ht="16.5" thickBot="1">
      <c r="A566" s="882" t="s">
        <v>5</v>
      </c>
      <c r="B566" s="883"/>
      <c r="C566" s="883"/>
      <c r="D566" s="883"/>
      <c r="E566" s="1134"/>
      <c r="F566" s="988">
        <f>ROUND(SUM(F555:F564),0)</f>
        <v>0</v>
      </c>
      <c r="G566" s="171"/>
      <c r="J566" s="957"/>
      <c r="K566" s="957"/>
      <c r="L566" s="577"/>
      <c r="M566" s="577"/>
      <c r="N566" s="578"/>
      <c r="O566" s="578"/>
      <c r="P566" s="575"/>
      <c r="Q566" s="708"/>
      <c r="R566" s="708"/>
      <c r="S566" s="739"/>
      <c r="T566" s="691"/>
    </row>
    <row r="567" spans="1:20" ht="16.5" thickBot="1">
      <c r="J567" s="957"/>
      <c r="K567" s="957"/>
      <c r="L567" s="577"/>
      <c r="M567" s="577"/>
      <c r="N567" s="578"/>
      <c r="O567" s="578"/>
      <c r="P567" s="575"/>
      <c r="Q567" s="708"/>
      <c r="R567" s="708"/>
      <c r="S567" s="739"/>
      <c r="T567" s="691"/>
    </row>
    <row r="568" spans="1:20" ht="15.95" customHeight="1" thickBot="1">
      <c r="A568" s="973"/>
      <c r="B568" s="1792" t="s">
        <v>571</v>
      </c>
      <c r="C568" s="1793"/>
      <c r="D568" s="1793"/>
      <c r="E568" s="1794"/>
      <c r="F568" s="974" t="s">
        <v>572</v>
      </c>
      <c r="J568" s="957"/>
      <c r="K568" s="957"/>
      <c r="L568" s="577"/>
      <c r="M568" s="577"/>
      <c r="N568" s="578"/>
      <c r="O568" s="578"/>
      <c r="P568" s="575"/>
      <c r="Q568" s="708"/>
      <c r="R568" s="708"/>
      <c r="S568" s="739"/>
      <c r="T568" s="691"/>
    </row>
    <row r="569" spans="1:20" ht="15.75">
      <c r="A569" s="975" t="s">
        <v>581</v>
      </c>
      <c r="B569" s="976" t="s">
        <v>7</v>
      </c>
      <c r="C569" s="977" t="s">
        <v>0</v>
      </c>
      <c r="D569" s="977" t="s">
        <v>8</v>
      </c>
      <c r="E569" s="977" t="s">
        <v>2</v>
      </c>
      <c r="F569" s="78" t="s">
        <v>9</v>
      </c>
      <c r="J569" s="957"/>
      <c r="K569" s="957"/>
      <c r="L569" s="577"/>
      <c r="M569" s="577"/>
      <c r="N569" s="578"/>
      <c r="O569" s="578"/>
      <c r="P569" s="575"/>
      <c r="Q569" s="708"/>
      <c r="R569" s="708"/>
      <c r="S569" s="739"/>
      <c r="T569" s="691"/>
    </row>
    <row r="570" spans="1:20" ht="15.75">
      <c r="A570" s="1440"/>
      <c r="B570" s="1443" t="s">
        <v>569</v>
      </c>
      <c r="C570" s="1444" t="s">
        <v>186</v>
      </c>
      <c r="D570" s="1445">
        <v>0.15</v>
      </c>
      <c r="E570" s="1446"/>
      <c r="F570" s="1447">
        <f t="shared" ref="F570:F572" si="52">+D570*E570</f>
        <v>0</v>
      </c>
      <c r="J570" s="957"/>
      <c r="K570" s="957"/>
      <c r="L570" s="577"/>
      <c r="M570" s="577"/>
      <c r="N570" s="578"/>
      <c r="O570" s="578"/>
      <c r="P570" s="575"/>
      <c r="Q570" s="708"/>
      <c r="R570" s="708"/>
      <c r="S570" s="739"/>
      <c r="T570" s="691"/>
    </row>
    <row r="571" spans="1:20" ht="15.75">
      <c r="A571" s="1440"/>
      <c r="B571" s="1443" t="s">
        <v>570</v>
      </c>
      <c r="C571" s="1448" t="s">
        <v>47</v>
      </c>
      <c r="D571" s="1445">
        <v>0.1</v>
      </c>
      <c r="E571" s="1446"/>
      <c r="F571" s="1447">
        <f t="shared" si="52"/>
        <v>0</v>
      </c>
      <c r="J571" s="957"/>
      <c r="K571" s="957"/>
      <c r="L571" s="577"/>
      <c r="M571" s="577"/>
      <c r="N571" s="578"/>
      <c r="O571" s="578"/>
      <c r="P571" s="575"/>
      <c r="Q571" s="708"/>
      <c r="R571" s="708"/>
      <c r="S571" s="739"/>
      <c r="T571" s="691"/>
    </row>
    <row r="572" spans="1:20" ht="15.75">
      <c r="A572" s="1440"/>
      <c r="B572" s="1449" t="s">
        <v>573</v>
      </c>
      <c r="C572" s="1448" t="s">
        <v>47</v>
      </c>
      <c r="D572" s="1442">
        <v>0.15</v>
      </c>
      <c r="E572" s="1446"/>
      <c r="F572" s="1447">
        <f t="shared" si="52"/>
        <v>0</v>
      </c>
      <c r="J572" s="957"/>
      <c r="K572" s="957"/>
      <c r="L572" s="577"/>
      <c r="M572" s="577"/>
      <c r="N572" s="578"/>
      <c r="O572" s="578"/>
      <c r="P572" s="575"/>
      <c r="Q572" s="708"/>
      <c r="R572" s="708"/>
      <c r="S572" s="739"/>
      <c r="T572" s="691"/>
    </row>
    <row r="573" spans="1:20" ht="16.5" thickBot="1">
      <c r="A573" s="1439"/>
      <c r="B573" s="1441"/>
      <c r="G573" s="171"/>
      <c r="J573" s="957"/>
      <c r="K573" s="957"/>
      <c r="L573" s="577"/>
      <c r="M573" s="577"/>
      <c r="N573" s="578"/>
      <c r="O573" s="578"/>
      <c r="P573" s="575"/>
      <c r="Q573" s="708"/>
      <c r="R573" s="708"/>
      <c r="S573" s="739"/>
      <c r="T573" s="691"/>
    </row>
    <row r="574" spans="1:20" ht="16.5" thickBot="1">
      <c r="A574" s="1430" t="s">
        <v>5</v>
      </c>
      <c r="B574" s="1431"/>
      <c r="C574" s="1431"/>
      <c r="D574" s="1431"/>
      <c r="E574" s="1432"/>
      <c r="F574" s="988">
        <f>ROUND(SUM(F570:F572),0)</f>
        <v>0</v>
      </c>
      <c r="J574" s="957"/>
      <c r="K574" s="957"/>
      <c r="L574" s="577"/>
      <c r="M574" s="577"/>
      <c r="N574" s="578"/>
      <c r="O574" s="578"/>
      <c r="P574" s="575"/>
      <c r="Q574" s="708"/>
      <c r="R574" s="708"/>
      <c r="S574" s="739"/>
      <c r="T574" s="691"/>
    </row>
    <row r="575" spans="1:20" ht="16.5" thickBot="1">
      <c r="J575" s="957"/>
      <c r="K575" s="957"/>
      <c r="L575" s="577"/>
      <c r="M575" s="577"/>
      <c r="N575" s="578"/>
      <c r="O575" s="578"/>
      <c r="P575" s="575"/>
      <c r="Q575" s="708"/>
      <c r="R575" s="708"/>
      <c r="S575" s="739"/>
      <c r="T575" s="691"/>
    </row>
    <row r="576" spans="1:20" ht="16.5" thickBot="1">
      <c r="A576" s="973"/>
      <c r="B576" s="1792" t="s">
        <v>170</v>
      </c>
      <c r="C576" s="1793"/>
      <c r="D576" s="1793"/>
      <c r="E576" s="1794"/>
      <c r="F576" s="1940" t="s">
        <v>575</v>
      </c>
      <c r="G576" s="1941"/>
      <c r="J576" s="957"/>
      <c r="K576" s="957"/>
      <c r="L576" s="577"/>
      <c r="M576" s="577"/>
      <c r="N576" s="578"/>
      <c r="O576" s="578"/>
      <c r="P576" s="575"/>
      <c r="Q576" s="708"/>
      <c r="R576" s="708"/>
      <c r="S576" s="739"/>
      <c r="T576" s="691"/>
    </row>
    <row r="577" spans="1:20" ht="16.5" thickBot="1">
      <c r="A577" s="1457" t="s">
        <v>6</v>
      </c>
      <c r="B577" s="1455" t="s">
        <v>7</v>
      </c>
      <c r="C577" s="1455" t="s">
        <v>0</v>
      </c>
      <c r="D577" s="1455" t="s">
        <v>8</v>
      </c>
      <c r="E577" s="1455" t="s">
        <v>2</v>
      </c>
      <c r="F577" s="1455" t="s">
        <v>387</v>
      </c>
      <c r="G577" s="1456" t="s">
        <v>9</v>
      </c>
      <c r="J577" s="957"/>
      <c r="K577" s="957"/>
      <c r="L577" s="577"/>
      <c r="M577" s="577"/>
      <c r="N577" s="578"/>
      <c r="O577" s="578"/>
      <c r="P577" s="575"/>
      <c r="Q577" s="708"/>
      <c r="R577" s="708"/>
      <c r="S577" s="739"/>
      <c r="T577" s="691"/>
    </row>
    <row r="578" spans="1:20" ht="15.75">
      <c r="A578" s="1453">
        <v>30</v>
      </c>
      <c r="B578" s="1460" t="s">
        <v>170</v>
      </c>
      <c r="C578" s="1461" t="s">
        <v>40</v>
      </c>
      <c r="D578" s="1461"/>
      <c r="E578" s="1462"/>
      <c r="F578" s="1461"/>
      <c r="G578" s="1463"/>
      <c r="J578" s="957"/>
      <c r="K578" s="957"/>
      <c r="L578" s="577"/>
      <c r="M578" s="577"/>
      <c r="N578" s="578"/>
      <c r="O578" s="578"/>
      <c r="P578" s="575"/>
      <c r="Q578" s="708"/>
      <c r="R578" s="708"/>
      <c r="S578" s="739"/>
      <c r="T578" s="691"/>
    </row>
    <row r="579" spans="1:20" ht="15.75">
      <c r="A579" s="1468"/>
      <c r="B579" s="885" t="s">
        <v>36</v>
      </c>
      <c r="C579" s="1464" t="s">
        <v>12</v>
      </c>
      <c r="D579" s="1465">
        <v>1</v>
      </c>
      <c r="E579" s="1466"/>
      <c r="F579" s="885"/>
      <c r="G579" s="1467"/>
      <c r="J579" s="957"/>
      <c r="K579" s="957"/>
      <c r="L579" s="577"/>
      <c r="M579" s="577"/>
      <c r="N579" s="578"/>
      <c r="O579" s="578"/>
      <c r="P579" s="575"/>
      <c r="Q579" s="708"/>
      <c r="R579" s="708"/>
      <c r="S579" s="739"/>
      <c r="T579" s="691"/>
    </row>
    <row r="580" spans="1:20" ht="15.75">
      <c r="A580" s="1468"/>
      <c r="B580" s="885" t="s">
        <v>15</v>
      </c>
      <c r="C580" s="1464" t="s">
        <v>14</v>
      </c>
      <c r="D580" s="1465">
        <v>0.1</v>
      </c>
      <c r="E580" s="1466"/>
      <c r="F580" s="885"/>
      <c r="G580" s="1467"/>
      <c r="J580" s="957"/>
      <c r="K580" s="957"/>
      <c r="L580" s="577"/>
      <c r="M580" s="577"/>
      <c r="N580" s="578"/>
      <c r="O580" s="578"/>
      <c r="P580" s="575"/>
      <c r="Q580" s="708"/>
      <c r="R580" s="708"/>
      <c r="S580" s="739"/>
      <c r="T580" s="691"/>
    </row>
    <row r="581" spans="1:20" ht="15.75">
      <c r="A581" s="1468"/>
      <c r="B581" s="885" t="s">
        <v>574</v>
      </c>
      <c r="C581" s="1464" t="s">
        <v>14</v>
      </c>
      <c r="D581" s="1465">
        <v>0.15</v>
      </c>
      <c r="E581" s="1466"/>
      <c r="F581" s="885"/>
      <c r="G581" s="1467"/>
      <c r="J581" s="957"/>
      <c r="K581" s="957"/>
      <c r="L581" s="577"/>
      <c r="M581" s="577"/>
      <c r="N581" s="578"/>
      <c r="O581" s="578"/>
      <c r="P581" s="575"/>
      <c r="Q581" s="708"/>
      <c r="R581" s="708"/>
      <c r="S581" s="739"/>
      <c r="T581" s="691"/>
    </row>
    <row r="582" spans="1:20" ht="15.75">
      <c r="A582" s="1468"/>
      <c r="B582" s="885"/>
      <c r="C582" s="1464"/>
      <c r="D582" s="1465"/>
      <c r="E582" s="1466"/>
      <c r="F582" s="885"/>
      <c r="G582" s="1467"/>
      <c r="J582" s="957"/>
      <c r="K582" s="957"/>
      <c r="L582" s="577"/>
      <c r="M582" s="577"/>
      <c r="N582" s="578"/>
      <c r="O582" s="578"/>
      <c r="P582" s="575"/>
      <c r="Q582" s="708"/>
      <c r="R582" s="708"/>
      <c r="S582" s="739"/>
      <c r="T582" s="691"/>
    </row>
    <row r="583" spans="1:20" ht="16.5" thickBot="1">
      <c r="A583" s="1472" t="s">
        <v>5</v>
      </c>
      <c r="B583" s="1469"/>
      <c r="C583" s="1470"/>
      <c r="D583" s="1470"/>
      <c r="E583" s="1470"/>
      <c r="F583" s="1470"/>
      <c r="G583" s="1471"/>
      <c r="J583" s="957"/>
      <c r="K583" s="957"/>
      <c r="L583" s="577"/>
      <c r="M583" s="577"/>
      <c r="N583" s="578"/>
      <c r="O583" s="578"/>
      <c r="P583" s="575"/>
      <c r="Q583" s="708"/>
      <c r="R583" s="708"/>
      <c r="S583" s="739"/>
      <c r="T583" s="691"/>
    </row>
    <row r="584" spans="1:20" ht="15.75">
      <c r="A584" s="1458"/>
      <c r="B584" s="1458"/>
      <c r="C584" s="1458"/>
      <c r="D584" s="1458"/>
      <c r="E584" s="1458"/>
      <c r="F584" s="1458"/>
      <c r="G584" s="1459"/>
      <c r="J584" s="957"/>
      <c r="K584" s="957"/>
      <c r="L584" s="577"/>
      <c r="M584" s="577"/>
      <c r="N584" s="578"/>
      <c r="O584" s="578"/>
      <c r="P584" s="575"/>
      <c r="Q584" s="708"/>
      <c r="R584" s="708"/>
      <c r="S584" s="739"/>
      <c r="T584" s="691"/>
    </row>
    <row r="585" spans="1:20" ht="16.5" thickBot="1">
      <c r="A585" s="1458"/>
      <c r="B585" s="1458"/>
      <c r="C585" s="1458"/>
      <c r="D585" s="1458"/>
      <c r="E585" s="1458"/>
      <c r="F585" s="1458"/>
      <c r="G585" s="1459"/>
      <c r="J585" s="957"/>
      <c r="K585" s="957"/>
      <c r="L585" s="577"/>
      <c r="M585" s="577"/>
      <c r="N585" s="578"/>
      <c r="O585" s="578"/>
      <c r="P585" s="575"/>
      <c r="Q585" s="708"/>
      <c r="R585" s="708"/>
      <c r="S585" s="739"/>
      <c r="T585" s="691"/>
    </row>
    <row r="586" spans="1:20" ht="30.6" customHeight="1" thickBot="1">
      <c r="A586" s="973"/>
      <c r="B586" s="1792" t="s">
        <v>576</v>
      </c>
      <c r="C586" s="1793"/>
      <c r="D586" s="1793"/>
      <c r="E586" s="1794"/>
      <c r="F586" s="1940" t="s">
        <v>575</v>
      </c>
      <c r="G586" s="1941"/>
      <c r="J586" s="957"/>
      <c r="K586" s="957"/>
      <c r="L586" s="577"/>
      <c r="M586" s="577"/>
      <c r="N586" s="578"/>
      <c r="O586" s="578"/>
      <c r="P586" s="575"/>
      <c r="Q586" s="708"/>
      <c r="R586" s="708"/>
      <c r="S586" s="739"/>
      <c r="T586" s="691"/>
    </row>
    <row r="587" spans="1:20" ht="16.5" thickBot="1">
      <c r="A587" s="1450" t="s">
        <v>6</v>
      </c>
      <c r="B587" s="1451" t="s">
        <v>7</v>
      </c>
      <c r="C587" s="1451" t="s">
        <v>0</v>
      </c>
      <c r="D587" s="1451" t="s">
        <v>8</v>
      </c>
      <c r="E587" s="1451" t="s">
        <v>2</v>
      </c>
      <c r="F587" s="1451" t="s">
        <v>387</v>
      </c>
      <c r="G587" s="1452" t="s">
        <v>9</v>
      </c>
      <c r="J587" s="957"/>
      <c r="K587" s="957"/>
      <c r="L587" s="577"/>
      <c r="M587" s="577"/>
      <c r="N587" s="578"/>
      <c r="O587" s="578"/>
      <c r="P587" s="575"/>
      <c r="Q587" s="708"/>
      <c r="R587" s="708"/>
      <c r="S587" s="739"/>
      <c r="T587" s="691"/>
    </row>
    <row r="588" spans="1:20" ht="31.5">
      <c r="A588" s="1453">
        <v>31</v>
      </c>
      <c r="B588" s="1473" t="s">
        <v>576</v>
      </c>
      <c r="C588" s="1474" t="s">
        <v>40</v>
      </c>
      <c r="D588" s="1475"/>
      <c r="E588" s="1476"/>
      <c r="F588" s="1475"/>
      <c r="G588" s="1463"/>
      <c r="J588" s="1782"/>
      <c r="K588" s="1825"/>
      <c r="L588" s="580"/>
      <c r="M588" s="580"/>
      <c r="N588" s="578"/>
      <c r="O588" s="579"/>
      <c r="P588" s="575"/>
      <c r="Q588" s="708"/>
      <c r="R588" s="708"/>
      <c r="S588" s="739"/>
      <c r="T588" s="691"/>
    </row>
    <row r="589" spans="1:20" ht="15.75">
      <c r="A589" s="1468"/>
      <c r="B589" s="1477" t="s">
        <v>26</v>
      </c>
      <c r="C589" s="1478" t="s">
        <v>27</v>
      </c>
      <c r="D589" s="885">
        <v>7</v>
      </c>
      <c r="E589" s="1466"/>
      <c r="F589" s="885"/>
      <c r="G589" s="1479"/>
      <c r="J589" s="1782"/>
      <c r="K589" s="1825"/>
      <c r="L589" s="580"/>
      <c r="M589" s="580"/>
      <c r="N589" s="578"/>
      <c r="O589" s="579"/>
      <c r="P589" s="575"/>
      <c r="Q589" s="708"/>
      <c r="R589" s="708"/>
      <c r="S589" s="739"/>
      <c r="T589" s="691"/>
    </row>
    <row r="590" spans="1:20" ht="15.75">
      <c r="A590" s="1468"/>
      <c r="B590" s="1477" t="s">
        <v>28</v>
      </c>
      <c r="C590" s="1478" t="s">
        <v>40</v>
      </c>
      <c r="D590" s="885">
        <v>0.55000000000000004</v>
      </c>
      <c r="E590" s="1466"/>
      <c r="F590" s="885"/>
      <c r="G590" s="1479"/>
      <c r="J590" s="1782"/>
      <c r="K590" s="1825"/>
      <c r="L590" s="580"/>
      <c r="M590" s="580"/>
      <c r="N590" s="578"/>
      <c r="O590" s="579"/>
      <c r="P590" s="735"/>
      <c r="Q590" s="708"/>
      <c r="R590" s="708"/>
      <c r="S590" s="739"/>
      <c r="T590" s="691"/>
    </row>
    <row r="591" spans="1:20" ht="15.75">
      <c r="A591" s="1468"/>
      <c r="B591" s="1477" t="s">
        <v>390</v>
      </c>
      <c r="C591" s="1478" t="s">
        <v>40</v>
      </c>
      <c r="D591" s="885">
        <v>0.84</v>
      </c>
      <c r="E591" s="1466"/>
      <c r="F591" s="885"/>
      <c r="G591" s="1479"/>
      <c r="J591" s="1782"/>
      <c r="K591" s="1825"/>
      <c r="L591" s="580"/>
      <c r="M591" s="580"/>
      <c r="N591" s="578"/>
      <c r="O591" s="579"/>
      <c r="P591" s="700"/>
      <c r="Q591" s="708"/>
      <c r="R591" s="708"/>
      <c r="S591" s="739"/>
      <c r="T591" s="691"/>
    </row>
    <row r="592" spans="1:20" ht="15.75">
      <c r="A592" s="1468"/>
      <c r="B592" s="1477" t="s">
        <v>41</v>
      </c>
      <c r="C592" s="1478" t="s">
        <v>29</v>
      </c>
      <c r="D592" s="885">
        <v>180</v>
      </c>
      <c r="E592" s="1466"/>
      <c r="F592" s="885"/>
      <c r="G592" s="1479"/>
      <c r="J592" s="1782"/>
      <c r="K592" s="1825"/>
      <c r="L592" s="580"/>
      <c r="M592" s="580"/>
      <c r="N592" s="578"/>
      <c r="O592" s="579"/>
      <c r="P592" s="700"/>
      <c r="Q592" s="708"/>
      <c r="R592" s="708"/>
      <c r="S592" s="739"/>
      <c r="T592" s="691"/>
    </row>
    <row r="593" spans="1:20" ht="15.75">
      <c r="A593" s="1468"/>
      <c r="B593" s="1477" t="s">
        <v>73</v>
      </c>
      <c r="C593" s="1478" t="s">
        <v>18</v>
      </c>
      <c r="D593" s="885">
        <v>10.5</v>
      </c>
      <c r="E593" s="1466"/>
      <c r="F593" s="885"/>
      <c r="G593" s="1479"/>
      <c r="J593" s="1782"/>
      <c r="K593" s="1825"/>
      <c r="L593" s="580"/>
      <c r="M593" s="580"/>
      <c r="N593" s="578"/>
      <c r="O593" s="579"/>
      <c r="P593" s="559"/>
      <c r="Q593" s="708"/>
      <c r="R593" s="708"/>
      <c r="S593" s="739"/>
      <c r="T593" s="691"/>
    </row>
    <row r="594" spans="1:20" ht="15.75">
      <c r="A594" s="1468"/>
      <c r="B594" s="1477" t="s">
        <v>35</v>
      </c>
      <c r="C594" s="1478" t="s">
        <v>12</v>
      </c>
      <c r="D594" s="885">
        <v>1</v>
      </c>
      <c r="E594" s="1466"/>
      <c r="F594" s="885"/>
      <c r="G594" s="1479"/>
      <c r="J594" s="1782"/>
      <c r="K594" s="1782"/>
      <c r="L594" s="580"/>
      <c r="M594" s="580"/>
      <c r="N594" s="578"/>
      <c r="O594" s="579"/>
      <c r="P594" s="738"/>
      <c r="Q594" s="708"/>
      <c r="R594" s="708"/>
      <c r="S594" s="739"/>
      <c r="T594" s="691"/>
    </row>
    <row r="595" spans="1:20" ht="15.75">
      <c r="A595" s="1468"/>
      <c r="B595" s="1477" t="s">
        <v>25</v>
      </c>
      <c r="C595" s="1478" t="s">
        <v>14</v>
      </c>
      <c r="D595" s="1480">
        <v>0.1</v>
      </c>
      <c r="E595" s="1466"/>
      <c r="F595" s="885"/>
      <c r="G595" s="1479"/>
      <c r="J595" s="1782"/>
      <c r="K595" s="1782"/>
      <c r="L595" s="580"/>
      <c r="M595" s="580"/>
      <c r="N595" s="578"/>
      <c r="O595" s="579"/>
      <c r="P595" s="708"/>
      <c r="Q595" s="708"/>
      <c r="R595" s="708"/>
      <c r="S595" s="739"/>
      <c r="T595" s="691"/>
    </row>
    <row r="596" spans="1:20" ht="15.75">
      <c r="A596" s="1468"/>
      <c r="B596" s="1477" t="s">
        <v>42</v>
      </c>
      <c r="C596" s="1478" t="s">
        <v>12</v>
      </c>
      <c r="D596" s="885">
        <v>1</v>
      </c>
      <c r="E596" s="1466"/>
      <c r="F596" s="885"/>
      <c r="G596" s="1479"/>
      <c r="J596" s="1782"/>
      <c r="K596" s="1782"/>
      <c r="L596" s="580"/>
      <c r="M596" s="580"/>
      <c r="N596" s="578"/>
      <c r="O596" s="579"/>
      <c r="P596" s="708"/>
      <c r="Q596" s="708"/>
      <c r="R596" s="708"/>
      <c r="S596" s="739"/>
      <c r="T596" s="691"/>
    </row>
    <row r="597" spans="1:20" ht="15.75">
      <c r="A597" s="1468"/>
      <c r="B597" s="1477" t="s">
        <v>21</v>
      </c>
      <c r="C597" s="1478" t="s">
        <v>23</v>
      </c>
      <c r="D597" s="885">
        <v>0.5</v>
      </c>
      <c r="E597" s="1466"/>
      <c r="F597" s="885"/>
      <c r="G597" s="1479"/>
      <c r="J597" s="1782"/>
      <c r="K597" s="1782"/>
      <c r="L597" s="580"/>
      <c r="M597" s="580"/>
      <c r="N597" s="578"/>
      <c r="O597" s="579"/>
      <c r="P597" s="708"/>
      <c r="Q597" s="708"/>
      <c r="R597" s="708"/>
      <c r="S597" s="739"/>
      <c r="T597" s="691"/>
    </row>
    <row r="598" spans="1:20" ht="15.75">
      <c r="A598" s="1481"/>
      <c r="B598" s="1001" t="s">
        <v>251</v>
      </c>
      <c r="C598" s="1478" t="s">
        <v>18</v>
      </c>
      <c r="D598" s="1489">
        <v>75</v>
      </c>
      <c r="E598" s="1483">
        <f>+E562</f>
        <v>0</v>
      </c>
      <c r="F598" s="1482"/>
      <c r="G598" s="1484">
        <f>+D598*E598</f>
        <v>0</v>
      </c>
      <c r="J598" s="576"/>
      <c r="K598" s="576"/>
      <c r="L598" s="576"/>
      <c r="M598" s="576"/>
      <c r="N598" s="576"/>
      <c r="O598" s="576"/>
      <c r="P598" s="708"/>
      <c r="Q598" s="708"/>
      <c r="R598" s="708"/>
      <c r="S598" s="739"/>
      <c r="T598" s="691"/>
    </row>
    <row r="599" spans="1:20" ht="15.75">
      <c r="A599" s="1481"/>
      <c r="B599" s="1149" t="s">
        <v>84</v>
      </c>
      <c r="C599" s="1485" t="s">
        <v>22</v>
      </c>
      <c r="D599" s="1489">
        <v>5</v>
      </c>
      <c r="E599" s="1483">
        <f>+O357</f>
        <v>0</v>
      </c>
      <c r="F599" s="1482"/>
      <c r="G599" s="1484">
        <f>+D599*E599</f>
        <v>0</v>
      </c>
      <c r="J599" s="576"/>
      <c r="K599" s="576"/>
      <c r="L599" s="576"/>
      <c r="M599" s="576"/>
      <c r="N599" s="576"/>
      <c r="O599" s="576"/>
      <c r="P599" s="708"/>
      <c r="Q599" s="708"/>
      <c r="R599" s="708"/>
      <c r="S599" s="739"/>
      <c r="T599" s="691"/>
    </row>
    <row r="600" spans="1:20" ht="15.75">
      <c r="A600" s="1481"/>
      <c r="B600" s="1149"/>
      <c r="C600" s="1485"/>
      <c r="D600" s="1489"/>
      <c r="E600" s="1483"/>
      <c r="F600" s="1482"/>
      <c r="G600" s="1484"/>
      <c r="P600" s="708"/>
      <c r="Q600" s="708"/>
      <c r="R600" s="708"/>
      <c r="S600" s="739"/>
      <c r="T600" s="691"/>
    </row>
    <row r="601" spans="1:20" ht="16.5" thickBot="1">
      <c r="A601" s="1486" t="s">
        <v>5</v>
      </c>
      <c r="B601" s="1487"/>
      <c r="C601" s="1487"/>
      <c r="D601" s="1487"/>
      <c r="E601" s="1487"/>
      <c r="F601" s="1487"/>
      <c r="G601" s="1488">
        <f>+SUM(G589:G599)</f>
        <v>0</v>
      </c>
      <c r="P601" s="708"/>
      <c r="Q601" s="708"/>
      <c r="R601" s="708"/>
      <c r="S601" s="739"/>
      <c r="T601" s="691"/>
    </row>
    <row r="602" spans="1:20">
      <c r="P602" s="708"/>
      <c r="Q602" s="708"/>
      <c r="R602" s="708"/>
      <c r="S602" s="739"/>
      <c r="T602" s="691"/>
    </row>
    <row r="603" spans="1:20" ht="15.75" thickBot="1">
      <c r="P603" s="708"/>
      <c r="Q603" s="708"/>
      <c r="R603" s="708"/>
      <c r="S603" s="739"/>
      <c r="T603" s="691"/>
    </row>
    <row r="604" spans="1:20" ht="33" customHeight="1" thickBot="1">
      <c r="A604" s="973"/>
      <c r="B604" s="1854" t="s">
        <v>583</v>
      </c>
      <c r="C604" s="1854"/>
      <c r="D604" s="1854"/>
      <c r="E604" s="1854"/>
      <c r="F604" s="1454" t="s">
        <v>584</v>
      </c>
      <c r="P604" s="691"/>
      <c r="Q604" s="735"/>
      <c r="R604" s="735"/>
      <c r="S604" s="739"/>
      <c r="T604" s="691"/>
    </row>
    <row r="605" spans="1:20" ht="33" customHeight="1">
      <c r="A605" s="975" t="s">
        <v>639</v>
      </c>
      <c r="B605" s="976" t="s">
        <v>7</v>
      </c>
      <c r="C605" s="977" t="s">
        <v>0</v>
      </c>
      <c r="D605" s="977" t="s">
        <v>8</v>
      </c>
      <c r="E605" s="977" t="s">
        <v>2</v>
      </c>
      <c r="F605" s="978" t="s">
        <v>9</v>
      </c>
      <c r="P605" s="691"/>
      <c r="S605" s="739"/>
      <c r="T605" s="691"/>
    </row>
    <row r="606" spans="1:20" ht="15.75">
      <c r="A606" s="979"/>
      <c r="B606" s="980" t="s">
        <v>79</v>
      </c>
      <c r="C606" s="1019" t="s">
        <v>80</v>
      </c>
      <c r="D606" s="1020">
        <v>4</v>
      </c>
      <c r="E606" s="983"/>
      <c r="F606" s="984">
        <f>+ROUND(E606*D606,0)</f>
        <v>0</v>
      </c>
      <c r="G606" s="171"/>
      <c r="P606" s="691"/>
      <c r="S606" s="735"/>
      <c r="T606" s="736"/>
    </row>
    <row r="607" spans="1:20" ht="30">
      <c r="A607" s="979"/>
      <c r="B607" s="980" t="s">
        <v>130</v>
      </c>
      <c r="C607" s="996" t="s">
        <v>80</v>
      </c>
      <c r="D607" s="1017">
        <v>2.5</v>
      </c>
      <c r="E607" s="1004"/>
      <c r="F607" s="984">
        <f t="shared" ref="F607:F613" si="53">+ROUND(E607*D607,0)</f>
        <v>0</v>
      </c>
      <c r="G607" s="171"/>
      <c r="P607" s="691"/>
    </row>
    <row r="608" spans="1:20">
      <c r="A608" s="979"/>
      <c r="B608" s="1000" t="s">
        <v>81</v>
      </c>
      <c r="C608" s="996" t="s">
        <v>62</v>
      </c>
      <c r="D608" s="997">
        <v>0.2</v>
      </c>
      <c r="E608" s="983"/>
      <c r="F608" s="984">
        <f t="shared" si="53"/>
        <v>0</v>
      </c>
      <c r="G608" s="171"/>
      <c r="P608" s="691"/>
    </row>
    <row r="609" spans="1:16" ht="16.5" customHeight="1">
      <c r="A609" s="979"/>
      <c r="B609" s="1000" t="s">
        <v>170</v>
      </c>
      <c r="C609" s="996" t="s">
        <v>4</v>
      </c>
      <c r="D609" s="997">
        <f>3.5*0.8*0.2</f>
        <v>0.56000000000000005</v>
      </c>
      <c r="E609" s="983"/>
      <c r="F609" s="984">
        <f t="shared" si="53"/>
        <v>0</v>
      </c>
      <c r="G609" s="171"/>
      <c r="P609" s="691"/>
    </row>
    <row r="610" spans="1:16" ht="18.75" customHeight="1">
      <c r="A610" s="979"/>
      <c r="B610" s="1001" t="s">
        <v>135</v>
      </c>
      <c r="C610" s="981" t="s">
        <v>4</v>
      </c>
      <c r="D610" s="982">
        <f>(D609*1.1*0.2)</f>
        <v>0.12320000000000003</v>
      </c>
      <c r="E610" s="983"/>
      <c r="F610" s="984">
        <f t="shared" si="53"/>
        <v>0</v>
      </c>
      <c r="G610" s="171"/>
      <c r="P610" s="691"/>
    </row>
    <row r="611" spans="1:16">
      <c r="A611" s="979"/>
      <c r="B611" s="1001" t="s">
        <v>83</v>
      </c>
      <c r="C611" s="981" t="s">
        <v>4</v>
      </c>
      <c r="D611" s="982">
        <f>+D610</f>
        <v>0.12320000000000003</v>
      </c>
      <c r="E611" s="983"/>
      <c r="F611" s="984">
        <f t="shared" si="53"/>
        <v>0</v>
      </c>
      <c r="G611" s="171"/>
      <c r="P611" s="691"/>
    </row>
    <row r="612" spans="1:16">
      <c r="A612" s="979"/>
      <c r="B612" s="1000" t="s">
        <v>141</v>
      </c>
      <c r="C612" s="981" t="s">
        <v>4</v>
      </c>
      <c r="D612" s="982">
        <f>(D609-((0.1016*0.1016*3.1416)/4*4))*0.2</f>
        <v>0.10551412910080001</v>
      </c>
      <c r="E612" s="983"/>
      <c r="F612" s="984">
        <f t="shared" si="53"/>
        <v>0</v>
      </c>
      <c r="G612" s="171"/>
      <c r="P612" s="691"/>
    </row>
    <row r="613" spans="1:16" ht="15.75" thickBot="1">
      <c r="A613" s="1105"/>
      <c r="B613" s="1106" t="s">
        <v>84</v>
      </c>
      <c r="C613" s="1107" t="s">
        <v>3</v>
      </c>
      <c r="D613" s="1108">
        <f>+D609</f>
        <v>0.56000000000000005</v>
      </c>
      <c r="E613" s="1026"/>
      <c r="F613" s="984">
        <f t="shared" si="53"/>
        <v>0</v>
      </c>
      <c r="G613" s="171"/>
      <c r="P613" s="691"/>
    </row>
    <row r="614" spans="1:16" ht="16.5" thickBot="1">
      <c r="A614" s="728"/>
      <c r="B614" s="729"/>
      <c r="C614" s="728"/>
      <c r="D614" s="728"/>
      <c r="E614" s="728"/>
      <c r="F614" s="728"/>
      <c r="G614" s="171"/>
      <c r="P614" s="735"/>
    </row>
    <row r="615" spans="1:16" ht="16.5" thickBot="1">
      <c r="A615" s="1906" t="s">
        <v>5</v>
      </c>
      <c r="B615" s="1907"/>
      <c r="C615" s="1907"/>
      <c r="D615" s="1907"/>
      <c r="E615" s="1907"/>
      <c r="F615" s="988">
        <f>ROUND(SUM(F606:F613),0)</f>
        <v>0</v>
      </c>
      <c r="G615" s="171"/>
    </row>
    <row r="616" spans="1:16" ht="15.75" thickBot="1">
      <c r="G616" s="171"/>
      <c r="H616" s="57"/>
    </row>
    <row r="617" spans="1:16" ht="28.5" customHeight="1" thickBot="1">
      <c r="A617" s="973"/>
      <c r="B617" s="1854" t="str">
        <f>+[5]APU´S!$B$105:$E$105</f>
        <v>Retiro y reinstalacion de  rejillas en platinas  metalicos para camara transformador</v>
      </c>
      <c r="C617" s="1854"/>
      <c r="D617" s="1854"/>
      <c r="E617" s="1854"/>
      <c r="F617" s="1454" t="s">
        <v>158</v>
      </c>
      <c r="G617" s="171"/>
      <c r="H617" s="57"/>
    </row>
    <row r="618" spans="1:16" ht="15.75">
      <c r="A618" s="1122" t="s">
        <v>586</v>
      </c>
      <c r="B618" s="1123" t="s">
        <v>7</v>
      </c>
      <c r="C618" s="1124" t="s">
        <v>0</v>
      </c>
      <c r="D618" s="1124" t="s">
        <v>8</v>
      </c>
      <c r="E618" s="1124" t="s">
        <v>2</v>
      </c>
      <c r="F618" s="1125" t="s">
        <v>9</v>
      </c>
      <c r="G618" s="171"/>
      <c r="H618" s="57"/>
    </row>
    <row r="619" spans="1:16" ht="30">
      <c r="A619" s="979"/>
      <c r="B619" s="980" t="s">
        <v>130</v>
      </c>
      <c r="C619" s="1019" t="s">
        <v>80</v>
      </c>
      <c r="D619" s="1020">
        <f>(2.5*2+1.5*2)*2</f>
        <v>16</v>
      </c>
      <c r="E619" s="983"/>
      <c r="F619" s="984">
        <f>+ROUND(E619*D619,0)</f>
        <v>0</v>
      </c>
      <c r="G619" s="171"/>
      <c r="H619" s="57"/>
    </row>
    <row r="620" spans="1:16" ht="30">
      <c r="A620" s="1491"/>
      <c r="B620" s="1131" t="s">
        <v>187</v>
      </c>
      <c r="C620" s="996" t="s">
        <v>3</v>
      </c>
      <c r="D620" s="997">
        <v>1</v>
      </c>
      <c r="E620" s="983"/>
      <c r="F620" s="984">
        <f>+ROUND(E620*D620,0)</f>
        <v>0</v>
      </c>
      <c r="G620" s="171"/>
      <c r="H620" s="57"/>
    </row>
    <row r="621" spans="1:16" ht="15.75" thickBot="1">
      <c r="A621" s="728"/>
      <c r="B621" s="729"/>
      <c r="C621" s="728"/>
      <c r="D621" s="728"/>
      <c r="E621" s="728"/>
      <c r="F621" s="728"/>
      <c r="G621" s="171"/>
      <c r="H621" s="57"/>
    </row>
    <row r="622" spans="1:16" ht="16.5" thickBot="1">
      <c r="A622" s="1906" t="s">
        <v>5</v>
      </c>
      <c r="B622" s="1907"/>
      <c r="C622" s="1907"/>
      <c r="D622" s="1907"/>
      <c r="E622" s="1907"/>
      <c r="F622" s="988">
        <f>ROUND(SUM(F619:F620),0)</f>
        <v>0</v>
      </c>
      <c r="H622" s="57"/>
    </row>
    <row r="623" spans="1:16" ht="15.75" thickBot="1">
      <c r="H623" s="57"/>
    </row>
    <row r="624" spans="1:16" ht="15" customHeight="1">
      <c r="A624" s="1885"/>
      <c r="B624" s="1887" t="s">
        <v>391</v>
      </c>
      <c r="C624" s="1888"/>
      <c r="D624" s="1888"/>
      <c r="E624" s="1889"/>
      <c r="F624" s="1881" t="s">
        <v>399</v>
      </c>
      <c r="G624" s="1882"/>
      <c r="H624" s="57"/>
    </row>
    <row r="625" spans="1:8" ht="15.75" customHeight="1" thickBot="1">
      <c r="A625" s="1886"/>
      <c r="B625" s="1890"/>
      <c r="C625" s="1891"/>
      <c r="D625" s="1891"/>
      <c r="E625" s="1892"/>
      <c r="F625" s="1883"/>
      <c r="G625" s="1884"/>
      <c r="H625" s="57"/>
    </row>
    <row r="626" spans="1:8" ht="16.5" thickBot="1">
      <c r="A626" s="1011" t="s">
        <v>587</v>
      </c>
      <c r="B626" s="1013" t="s">
        <v>7</v>
      </c>
      <c r="C626" s="1013" t="s">
        <v>0</v>
      </c>
      <c r="D626" s="1013" t="s">
        <v>8</v>
      </c>
      <c r="E626" s="1013" t="s">
        <v>2</v>
      </c>
      <c r="F626" s="1065" t="s">
        <v>387</v>
      </c>
      <c r="G626" s="1066" t="s">
        <v>9</v>
      </c>
      <c r="H626" s="57"/>
    </row>
    <row r="627" spans="1:8" ht="30.75" customHeight="1">
      <c r="A627" s="998"/>
      <c r="B627" s="1045" t="s">
        <v>400</v>
      </c>
      <c r="C627" s="1046" t="s">
        <v>12</v>
      </c>
      <c r="D627" s="1067">
        <v>1</v>
      </c>
      <c r="E627" s="1048"/>
      <c r="F627" s="1049">
        <v>0.03</v>
      </c>
      <c r="G627" s="1050">
        <f>ROUND((PRODUCT(D627:F627)),0)</f>
        <v>0</v>
      </c>
      <c r="H627" s="57"/>
    </row>
    <row r="628" spans="1:8" ht="34.5" customHeight="1">
      <c r="A628" s="998"/>
      <c r="B628" s="1045" t="s">
        <v>15</v>
      </c>
      <c r="C628" s="1046" t="s">
        <v>14</v>
      </c>
      <c r="D628" s="1067">
        <v>0.1</v>
      </c>
      <c r="E628" s="1048"/>
      <c r="F628" s="1068"/>
      <c r="G628" s="1050">
        <f>ROUND((PRODUCT(D628:F628)),0)</f>
        <v>0</v>
      </c>
      <c r="H628" s="57"/>
    </row>
    <row r="629" spans="1:8" ht="15.75" thickBot="1">
      <c r="A629" s="1053"/>
      <c r="B629" s="1054" t="s">
        <v>25</v>
      </c>
      <c r="C629" s="1055" t="s">
        <v>14</v>
      </c>
      <c r="D629" s="1069">
        <v>0.05</v>
      </c>
      <c r="E629" s="1057"/>
      <c r="F629" s="1070"/>
      <c r="G629" s="1059">
        <f>ROUND((PRODUCT(D629:F629)),0)</f>
        <v>0</v>
      </c>
      <c r="H629" s="57"/>
    </row>
    <row r="630" spans="1:8" ht="16.5" thickBot="1">
      <c r="A630" s="1434" t="s">
        <v>5</v>
      </c>
      <c r="B630" s="1435"/>
      <c r="C630" s="1435"/>
      <c r="D630" s="1435"/>
      <c r="E630" s="1435"/>
      <c r="F630" s="1436"/>
      <c r="G630" s="1072">
        <f>+ROUND(SUM(G627:G629),0)</f>
        <v>0</v>
      </c>
      <c r="H630" s="57"/>
    </row>
    <row r="631" spans="1:8" ht="16.5" thickBot="1">
      <c r="A631" s="1437"/>
      <c r="B631" s="1437"/>
      <c r="C631" s="1437"/>
      <c r="D631" s="1437"/>
      <c r="E631" s="1437"/>
      <c r="F631" s="558"/>
      <c r="G631" s="171"/>
      <c r="H631" s="57"/>
    </row>
    <row r="632" spans="1:8" ht="15" customHeight="1">
      <c r="A632" s="1885"/>
      <c r="B632" s="1956" t="s">
        <v>392</v>
      </c>
      <c r="C632" s="1957"/>
      <c r="D632" s="1957"/>
      <c r="E632" s="1958"/>
      <c r="F632" s="1881" t="s">
        <v>399</v>
      </c>
      <c r="G632" s="1882"/>
      <c r="H632" s="57"/>
    </row>
    <row r="633" spans="1:8" ht="15.75" customHeight="1" thickBot="1">
      <c r="A633" s="1886"/>
      <c r="B633" s="1959"/>
      <c r="C633" s="1960"/>
      <c r="D633" s="1960"/>
      <c r="E633" s="1961"/>
      <c r="F633" s="1883"/>
      <c r="G633" s="1884"/>
      <c r="H633" s="57"/>
    </row>
    <row r="634" spans="1:8" ht="16.5" thickBot="1">
      <c r="A634" s="1011" t="s">
        <v>615</v>
      </c>
      <c r="B634" s="1013" t="s">
        <v>7</v>
      </c>
      <c r="C634" s="1013" t="s">
        <v>0</v>
      </c>
      <c r="D634" s="1013" t="s">
        <v>8</v>
      </c>
      <c r="E634" s="1013" t="s">
        <v>2</v>
      </c>
      <c r="F634" s="1065" t="s">
        <v>387</v>
      </c>
      <c r="G634" s="1066" t="s">
        <v>9</v>
      </c>
      <c r="H634" s="57"/>
    </row>
    <row r="635" spans="1:8">
      <c r="A635" s="1074"/>
      <c r="B635" s="1045" t="s">
        <v>28</v>
      </c>
      <c r="C635" s="1046" t="s">
        <v>40</v>
      </c>
      <c r="D635" s="1075">
        <v>0.06</v>
      </c>
      <c r="E635" s="1076"/>
      <c r="F635" s="1046">
        <v>1.05</v>
      </c>
      <c r="G635" s="1077">
        <f>+ROUND(PRODUCT(D635:F635),0)</f>
        <v>0</v>
      </c>
      <c r="H635" s="57"/>
    </row>
    <row r="636" spans="1:8">
      <c r="A636" s="1074"/>
      <c r="B636" s="1045" t="s">
        <v>41</v>
      </c>
      <c r="C636" s="1046" t="s">
        <v>29</v>
      </c>
      <c r="D636" s="1075">
        <v>10</v>
      </c>
      <c r="E636" s="1076"/>
      <c r="F636" s="1046"/>
      <c r="G636" s="1077">
        <v>0</v>
      </c>
      <c r="H636" s="57"/>
    </row>
    <row r="637" spans="1:8">
      <c r="A637" s="1074"/>
      <c r="B637" s="1045" t="s">
        <v>401</v>
      </c>
      <c r="C637" s="1046" t="s">
        <v>12</v>
      </c>
      <c r="D637" s="1075">
        <v>1</v>
      </c>
      <c r="E637" s="1076"/>
      <c r="F637" s="1046">
        <v>0.1</v>
      </c>
      <c r="G637" s="1077">
        <f t="shared" ref="G637:G639" si="54">+ROUND(PRODUCT(D637:F637),0)</f>
        <v>0</v>
      </c>
      <c r="H637" s="57"/>
    </row>
    <row r="638" spans="1:8">
      <c r="A638" s="1074"/>
      <c r="B638" s="1045" t="s">
        <v>17</v>
      </c>
      <c r="C638" s="1046" t="s">
        <v>12</v>
      </c>
      <c r="D638" s="1075">
        <v>1</v>
      </c>
      <c r="E638" s="1076"/>
      <c r="F638" s="1046">
        <v>3.3333333333333333E-2</v>
      </c>
      <c r="G638" s="1077">
        <f t="shared" si="54"/>
        <v>0</v>
      </c>
      <c r="H638" s="57"/>
    </row>
    <row r="639" spans="1:8" ht="15.75" thickBot="1">
      <c r="A639" s="1078"/>
      <c r="B639" s="1492" t="s">
        <v>25</v>
      </c>
      <c r="C639" s="1493" t="s">
        <v>14</v>
      </c>
      <c r="D639" s="1069">
        <v>0.1</v>
      </c>
      <c r="E639" s="1057"/>
      <c r="F639" s="1070"/>
      <c r="G639" s="1077">
        <f t="shared" si="54"/>
        <v>0</v>
      </c>
      <c r="H639" s="57"/>
    </row>
    <row r="640" spans="1:8" ht="16.5" thickBot="1">
      <c r="A640" s="1434" t="s">
        <v>5</v>
      </c>
      <c r="B640" s="1435"/>
      <c r="C640" s="1435"/>
      <c r="D640" s="1435"/>
      <c r="E640" s="1435"/>
      <c r="F640" s="1436"/>
      <c r="G640" s="1072">
        <f>+ROUND(SUM(G635:G639),0)</f>
        <v>0</v>
      </c>
    </row>
    <row r="641" spans="1:6" ht="15.75" thickBot="1"/>
    <row r="642" spans="1:6" ht="16.5" thickBot="1">
      <c r="A642" s="1496"/>
      <c r="B642" s="1962" t="s">
        <v>216</v>
      </c>
      <c r="C642" s="1939"/>
      <c r="D642" s="1939"/>
      <c r="E642" s="1963"/>
      <c r="F642" s="1454" t="s">
        <v>299</v>
      </c>
    </row>
    <row r="643" spans="1:6" ht="16.5" thickBot="1">
      <c r="A643" s="975" t="s">
        <v>616</v>
      </c>
      <c r="B643" s="976" t="s">
        <v>7</v>
      </c>
      <c r="C643" s="977" t="s">
        <v>0</v>
      </c>
      <c r="D643" s="977" t="s">
        <v>8</v>
      </c>
      <c r="E643" s="977" t="s">
        <v>2</v>
      </c>
      <c r="F643" s="78" t="s">
        <v>9</v>
      </c>
    </row>
    <row r="644" spans="1:6" ht="16.5" customHeight="1">
      <c r="A644" s="1497"/>
      <c r="B644" s="1498" t="s">
        <v>79</v>
      </c>
      <c r="C644" s="1499" t="s">
        <v>80</v>
      </c>
      <c r="D644" s="1500">
        <v>10</v>
      </c>
      <c r="E644" s="1501"/>
      <c r="F644" s="994">
        <f>+ROUND(D644*E644,0)</f>
        <v>0</v>
      </c>
    </row>
    <row r="645" spans="1:6" ht="16.5" customHeight="1">
      <c r="A645" s="995"/>
      <c r="B645" s="1000" t="s">
        <v>130</v>
      </c>
      <c r="C645" s="1502" t="s">
        <v>80</v>
      </c>
      <c r="D645" s="1503">
        <v>5</v>
      </c>
      <c r="E645" s="1008"/>
      <c r="F645" s="994">
        <f t="shared" ref="F645:F651" si="55">+ROUND(D645*E645,0)</f>
        <v>0</v>
      </c>
    </row>
    <row r="646" spans="1:6">
      <c r="A646" s="995"/>
      <c r="B646" s="1131" t="s">
        <v>81</v>
      </c>
      <c r="C646" s="1502" t="s">
        <v>62</v>
      </c>
      <c r="D646" s="1503">
        <v>0.3</v>
      </c>
      <c r="E646" s="1008"/>
      <c r="F646" s="994">
        <f t="shared" si="55"/>
        <v>0</v>
      </c>
    </row>
    <row r="647" spans="1:6">
      <c r="A647" s="995"/>
      <c r="B647" s="1504" t="s">
        <v>159</v>
      </c>
      <c r="C647" s="1502" t="s">
        <v>80</v>
      </c>
      <c r="D647" s="1503">
        <v>30</v>
      </c>
      <c r="E647" s="1008"/>
      <c r="F647" s="994">
        <f t="shared" si="55"/>
        <v>0</v>
      </c>
    </row>
    <row r="648" spans="1:6">
      <c r="A648" s="995"/>
      <c r="B648" s="999" t="s">
        <v>30</v>
      </c>
      <c r="C648" s="986" t="s">
        <v>66</v>
      </c>
      <c r="D648" s="1505">
        <v>2.5</v>
      </c>
      <c r="E648" s="1099"/>
      <c r="F648" s="994">
        <f t="shared" si="55"/>
        <v>0</v>
      </c>
    </row>
    <row r="649" spans="1:6">
      <c r="A649" s="995"/>
      <c r="B649" s="1001" t="s">
        <v>133</v>
      </c>
      <c r="C649" s="1006" t="s">
        <v>3</v>
      </c>
      <c r="D649" s="1007">
        <v>12</v>
      </c>
      <c r="E649" s="1008"/>
      <c r="F649" s="994">
        <f t="shared" si="55"/>
        <v>0</v>
      </c>
    </row>
    <row r="650" spans="1:6" ht="30.75" customHeight="1">
      <c r="A650" s="995"/>
      <c r="B650" s="1506" t="s">
        <v>410</v>
      </c>
      <c r="C650" s="1052" t="s">
        <v>4</v>
      </c>
      <c r="D650" s="1007">
        <v>0.8</v>
      </c>
      <c r="E650" s="1507"/>
      <c r="F650" s="994">
        <f t="shared" si="55"/>
        <v>0</v>
      </c>
    </row>
    <row r="651" spans="1:6" ht="15.75" thickBot="1">
      <c r="A651" s="1508"/>
      <c r="B651" s="1093" t="s">
        <v>142</v>
      </c>
      <c r="C651" s="1150" t="s">
        <v>3</v>
      </c>
      <c r="D651" s="1509">
        <v>12</v>
      </c>
      <c r="E651" s="1510"/>
      <c r="F651" s="994">
        <f t="shared" si="55"/>
        <v>0</v>
      </c>
    </row>
    <row r="652" spans="1:6" ht="16.5" thickBot="1">
      <c r="A652" s="1789" t="s">
        <v>5</v>
      </c>
      <c r="B652" s="1790"/>
      <c r="C652" s="1790"/>
      <c r="D652" s="1790"/>
      <c r="E652" s="1791"/>
      <c r="F652" s="1511">
        <f>ROUND(SUM(F644:F651),0)</f>
        <v>0</v>
      </c>
    </row>
    <row r="653" spans="1:6" ht="15.75" thickBot="1"/>
    <row r="654" spans="1:6" ht="16.5" thickBot="1">
      <c r="A654" s="1496"/>
      <c r="B654" s="1964" t="s">
        <v>185</v>
      </c>
      <c r="C654" s="1965"/>
      <c r="D654" s="1965"/>
      <c r="E654" s="1966"/>
      <c r="F654" s="1454" t="s">
        <v>408</v>
      </c>
    </row>
    <row r="655" spans="1:6" ht="15.75">
      <c r="A655" s="975" t="s">
        <v>617</v>
      </c>
      <c r="B655" s="976" t="s">
        <v>7</v>
      </c>
      <c r="C655" s="977" t="s">
        <v>0</v>
      </c>
      <c r="D655" s="977" t="s">
        <v>8</v>
      </c>
      <c r="E655" s="977" t="s">
        <v>2</v>
      </c>
      <c r="F655" s="78" t="s">
        <v>9</v>
      </c>
    </row>
    <row r="656" spans="1:6" ht="15.75" customHeight="1">
      <c r="A656" s="1433"/>
      <c r="B656" s="1045" t="s">
        <v>19</v>
      </c>
      <c r="C656" s="1046" t="s">
        <v>10</v>
      </c>
      <c r="D656" s="1067">
        <v>0.05</v>
      </c>
      <c r="E656" s="1512"/>
      <c r="F656" s="984">
        <f>+ROUND(D656*E656,0)</f>
        <v>0</v>
      </c>
    </row>
    <row r="657" spans="1:7" ht="15.75">
      <c r="A657" s="1433"/>
      <c r="B657" s="1045" t="s">
        <v>20</v>
      </c>
      <c r="C657" s="1046" t="s">
        <v>18</v>
      </c>
      <c r="D657" s="1067">
        <v>0.1</v>
      </c>
      <c r="E657" s="1512"/>
      <c r="F657" s="984">
        <f t="shared" ref="F657:F663" si="56">+ROUND(D657*E657,0)</f>
        <v>0</v>
      </c>
    </row>
    <row r="658" spans="1:7">
      <c r="A658" s="1513"/>
      <c r="B658" s="1514" t="s">
        <v>403</v>
      </c>
      <c r="C658" s="1515" t="s">
        <v>3</v>
      </c>
      <c r="D658" s="1516">
        <v>2</v>
      </c>
      <c r="E658" s="1517"/>
      <c r="F658" s="984">
        <f t="shared" si="56"/>
        <v>0</v>
      </c>
    </row>
    <row r="659" spans="1:7">
      <c r="A659" s="995"/>
      <c r="B659" s="1000" t="s">
        <v>405</v>
      </c>
      <c r="C659" s="1502" t="s">
        <v>407</v>
      </c>
      <c r="D659" s="1503">
        <v>45</v>
      </c>
      <c r="E659" s="1004"/>
      <c r="F659" s="984">
        <f t="shared" si="56"/>
        <v>0</v>
      </c>
    </row>
    <row r="660" spans="1:7" ht="21.75" customHeight="1">
      <c r="A660" s="995"/>
      <c r="B660" s="1131" t="s">
        <v>172</v>
      </c>
      <c r="C660" s="1502" t="s">
        <v>4</v>
      </c>
      <c r="D660" s="1518">
        <v>0.11</v>
      </c>
      <c r="E660" s="1004"/>
      <c r="F660" s="984">
        <f t="shared" si="56"/>
        <v>0</v>
      </c>
    </row>
    <row r="661" spans="1:7">
      <c r="A661" s="995"/>
      <c r="B661" s="1504" t="s">
        <v>406</v>
      </c>
      <c r="C661" s="1502" t="s">
        <v>3</v>
      </c>
      <c r="D661" s="1503">
        <v>0.6</v>
      </c>
      <c r="E661" s="1004"/>
      <c r="F661" s="984">
        <f t="shared" si="56"/>
        <v>0</v>
      </c>
    </row>
    <row r="662" spans="1:7">
      <c r="A662" s="995"/>
      <c r="B662" s="999" t="s">
        <v>409</v>
      </c>
      <c r="C662" s="986" t="s">
        <v>66</v>
      </c>
      <c r="D662" s="1505">
        <v>0.2</v>
      </c>
      <c r="E662" s="983"/>
      <c r="F662" s="984">
        <f t="shared" si="56"/>
        <v>0</v>
      </c>
      <c r="G662" s="171"/>
    </row>
    <row r="663" spans="1:7" ht="15.75" thickBot="1">
      <c r="A663" s="995"/>
      <c r="B663" s="1519" t="s">
        <v>25</v>
      </c>
      <c r="C663" s="1520" t="s">
        <v>14</v>
      </c>
      <c r="D663" s="1007">
        <v>0.1</v>
      </c>
      <c r="E663" s="1004"/>
      <c r="F663" s="984">
        <f t="shared" si="56"/>
        <v>0</v>
      </c>
      <c r="G663" s="171"/>
    </row>
    <row r="664" spans="1:7" ht="15.75" thickBot="1">
      <c r="A664" s="728"/>
      <c r="B664" s="729"/>
      <c r="C664" s="728"/>
      <c r="D664" s="728"/>
      <c r="E664" s="728"/>
      <c r="F664" s="58"/>
      <c r="G664" s="171"/>
    </row>
    <row r="665" spans="1:7" ht="16.5" thickBot="1">
      <c r="A665" s="1789" t="s">
        <v>5</v>
      </c>
      <c r="B665" s="1790"/>
      <c r="C665" s="1790"/>
      <c r="D665" s="1790"/>
      <c r="E665" s="1791"/>
      <c r="F665" s="1521">
        <f>ROUND(SUM(F656:F663),0)</f>
        <v>0</v>
      </c>
      <c r="G665" s="171"/>
    </row>
    <row r="666" spans="1:7" ht="25.5" customHeight="1" thickBot="1">
      <c r="G666" s="171"/>
    </row>
    <row r="667" spans="1:7" ht="18.75" customHeight="1" thickBot="1">
      <c r="A667" s="1496"/>
      <c r="B667" s="1967" t="s">
        <v>298</v>
      </c>
      <c r="C667" s="1967"/>
      <c r="D667" s="1967"/>
      <c r="E667" s="1967"/>
      <c r="F667" s="1454" t="s">
        <v>153</v>
      </c>
      <c r="G667" s="171"/>
    </row>
    <row r="668" spans="1:7" ht="15.75" thickBot="1">
      <c r="A668" s="1522"/>
      <c r="B668" s="1523"/>
      <c r="C668" s="1522"/>
      <c r="D668" s="1522"/>
      <c r="E668" s="1522"/>
      <c r="F668" s="58"/>
      <c r="G668" s="171"/>
    </row>
    <row r="669" spans="1:7" ht="15.75">
      <c r="A669" s="1082" t="s">
        <v>618</v>
      </c>
      <c r="B669" s="1083" t="s">
        <v>7</v>
      </c>
      <c r="C669" s="1084" t="s">
        <v>0</v>
      </c>
      <c r="D669" s="1084" t="s">
        <v>8</v>
      </c>
      <c r="E669" s="1084" t="s">
        <v>2</v>
      </c>
      <c r="F669" s="1112" t="s">
        <v>9</v>
      </c>
      <c r="G669" s="171"/>
    </row>
    <row r="670" spans="1:7">
      <c r="A670" s="998">
        <v>1</v>
      </c>
      <c r="B670" s="1000" t="s">
        <v>79</v>
      </c>
      <c r="C670" s="1524" t="s">
        <v>64</v>
      </c>
      <c r="D670" s="1525">
        <v>25</v>
      </c>
      <c r="E670" s="1004"/>
      <c r="F670" s="994">
        <f>+ROUND(D670*E670,0)</f>
        <v>0</v>
      </c>
      <c r="G670" s="171"/>
    </row>
    <row r="671" spans="1:7" ht="30">
      <c r="A671" s="1491">
        <v>2</v>
      </c>
      <c r="B671" s="1000" t="s">
        <v>591</v>
      </c>
      <c r="C671" s="1524" t="s">
        <v>3</v>
      </c>
      <c r="D671" s="1525">
        <v>15</v>
      </c>
      <c r="E671" s="1004"/>
      <c r="F671" s="994">
        <f t="shared" ref="F671:F690" si="57">+ROUND(D671*E671,0)</f>
        <v>0</v>
      </c>
      <c r="G671" s="171"/>
    </row>
    <row r="672" spans="1:7">
      <c r="A672" s="998">
        <v>3</v>
      </c>
      <c r="B672" s="1526" t="s">
        <v>133</v>
      </c>
      <c r="C672" s="1524" t="s">
        <v>3</v>
      </c>
      <c r="D672" s="1525">
        <v>25</v>
      </c>
      <c r="E672" s="1004"/>
      <c r="F672" s="994">
        <f t="shared" si="57"/>
        <v>0</v>
      </c>
      <c r="G672" s="171"/>
    </row>
    <row r="673" spans="1:7">
      <c r="A673" s="998">
        <v>4</v>
      </c>
      <c r="B673" s="972" t="s">
        <v>592</v>
      </c>
      <c r="C673" s="3" t="s">
        <v>4</v>
      </c>
      <c r="D673" s="1525">
        <f>(4.8*2.3*0.2)+(0.8*0.9*2.1)+(0.8*1.2*0.2)</f>
        <v>3.9119999999999999</v>
      </c>
      <c r="E673" s="1004"/>
      <c r="F673" s="994">
        <f t="shared" si="57"/>
        <v>0</v>
      </c>
      <c r="G673" s="171"/>
    </row>
    <row r="674" spans="1:7">
      <c r="A674" s="1491">
        <v>5</v>
      </c>
      <c r="B674" s="972" t="s">
        <v>593</v>
      </c>
      <c r="C674" s="3" t="s">
        <v>3</v>
      </c>
      <c r="D674" s="1527">
        <f>(4.4*2)+(1.4*1.3)+(1.2*0.8)+(4.7*0.5)</f>
        <v>13.930000000000001</v>
      </c>
      <c r="E674" s="1004"/>
      <c r="F674" s="994">
        <f t="shared" si="57"/>
        <v>0</v>
      </c>
      <c r="G674" s="171" t="s">
        <v>404</v>
      </c>
    </row>
    <row r="675" spans="1:7">
      <c r="A675" s="998">
        <v>6</v>
      </c>
      <c r="B675" s="972" t="s">
        <v>594</v>
      </c>
      <c r="C675" s="3" t="s">
        <v>4</v>
      </c>
      <c r="D675" s="1527">
        <f>(4.8*2.2*0.5)+(1.3*1.45*1.2)+1*1*0.9+(4.7*2.2*0.4)</f>
        <v>12.578000000000001</v>
      </c>
      <c r="E675" s="1004"/>
      <c r="F675" s="994">
        <f t="shared" si="57"/>
        <v>0</v>
      </c>
      <c r="G675" s="171"/>
    </row>
    <row r="676" spans="1:7">
      <c r="A676" s="998">
        <v>7</v>
      </c>
      <c r="B676" s="369" t="s">
        <v>83</v>
      </c>
      <c r="C676" s="3" t="s">
        <v>4</v>
      </c>
      <c r="D676" s="1527">
        <f>D673*1.25+(D674*0.2*1.25)+(D675*1.25)</f>
        <v>24.095000000000002</v>
      </c>
      <c r="E676" s="1004"/>
      <c r="F676" s="994">
        <f t="shared" si="57"/>
        <v>0</v>
      </c>
      <c r="G676" s="171"/>
    </row>
    <row r="677" spans="1:7" ht="28.5">
      <c r="A677" s="998">
        <v>8</v>
      </c>
      <c r="B677" s="972" t="s">
        <v>595</v>
      </c>
      <c r="C677" s="3" t="s">
        <v>4</v>
      </c>
      <c r="D677" s="1017">
        <f>(4.7*2.5*0.2)+(3.5*0.4*0.2)+(4.4*0.85*0.1)</f>
        <v>3.004</v>
      </c>
      <c r="E677" s="1004"/>
      <c r="F677" s="994">
        <f t="shared" si="57"/>
        <v>0</v>
      </c>
      <c r="G677" s="171"/>
    </row>
    <row r="678" spans="1:7" ht="28.5">
      <c r="A678" s="1491">
        <v>9</v>
      </c>
      <c r="B678" s="972" t="s">
        <v>596</v>
      </c>
      <c r="C678" s="3" t="s">
        <v>31</v>
      </c>
      <c r="D678" s="1017">
        <v>12</v>
      </c>
      <c r="E678" s="1004"/>
      <c r="F678" s="994">
        <f t="shared" si="57"/>
        <v>0</v>
      </c>
      <c r="G678" s="171"/>
    </row>
    <row r="679" spans="1:7" ht="28.5">
      <c r="A679" s="998">
        <v>10</v>
      </c>
      <c r="B679" s="1528" t="s">
        <v>597</v>
      </c>
      <c r="C679" s="3" t="s">
        <v>23</v>
      </c>
      <c r="D679" s="1017">
        <v>2</v>
      </c>
      <c r="E679" s="1004"/>
      <c r="F679" s="994">
        <f t="shared" si="57"/>
        <v>0</v>
      </c>
      <c r="G679" s="171"/>
    </row>
    <row r="680" spans="1:7" ht="21.75" customHeight="1">
      <c r="A680" s="998">
        <v>11</v>
      </c>
      <c r="B680" s="972" t="s">
        <v>598</v>
      </c>
      <c r="C680" s="3" t="s">
        <v>3</v>
      </c>
      <c r="D680" s="1017">
        <v>25</v>
      </c>
      <c r="E680" s="1004"/>
      <c r="F680" s="994">
        <f t="shared" si="57"/>
        <v>0</v>
      </c>
      <c r="G680" s="171"/>
    </row>
    <row r="681" spans="1:7" ht="28.5">
      <c r="A681" s="1491">
        <v>12</v>
      </c>
      <c r="B681" s="1529" t="s">
        <v>599</v>
      </c>
      <c r="C681" s="3" t="s">
        <v>4</v>
      </c>
      <c r="D681" s="1017">
        <f>(4.5+1.5+1.5)*0.2*2.3</f>
        <v>3.4499999999999997</v>
      </c>
      <c r="E681" s="1004"/>
      <c r="F681" s="994">
        <f t="shared" si="57"/>
        <v>0</v>
      </c>
      <c r="G681" s="171"/>
    </row>
    <row r="682" spans="1:7" ht="28.5">
      <c r="A682" s="998">
        <v>13</v>
      </c>
      <c r="B682" s="972" t="s">
        <v>600</v>
      </c>
      <c r="C682" s="3" t="s">
        <v>4</v>
      </c>
      <c r="D682" s="1017">
        <f>(4.7+2.4+4.7+2.4+2.4+1.8+4.5)*0.3*0.2</f>
        <v>1.3740000000000001</v>
      </c>
      <c r="E682" s="1004"/>
      <c r="F682" s="994">
        <f t="shared" si="57"/>
        <v>0</v>
      </c>
      <c r="G682" s="171"/>
    </row>
    <row r="683" spans="1:7" ht="28.5">
      <c r="A683" s="998">
        <v>14</v>
      </c>
      <c r="B683" s="972" t="s">
        <v>601</v>
      </c>
      <c r="C683" s="3" t="s">
        <v>3</v>
      </c>
      <c r="D683" s="1017">
        <f>((2.3*2.2)*0.15+(2*0.6)*0.15)*1.03</f>
        <v>0.96716999999999986</v>
      </c>
      <c r="E683" s="1004"/>
      <c r="F683" s="994">
        <f t="shared" si="57"/>
        <v>0</v>
      </c>
    </row>
    <row r="684" spans="1:7">
      <c r="A684" s="998">
        <v>15</v>
      </c>
      <c r="B684" s="972" t="s">
        <v>602</v>
      </c>
      <c r="C684" s="3"/>
      <c r="D684" s="1017">
        <f>(126+273+207+116+10+23+30)*1.03</f>
        <v>808.55000000000007</v>
      </c>
      <c r="E684" s="1004"/>
      <c r="F684" s="994">
        <f t="shared" si="57"/>
        <v>0</v>
      </c>
    </row>
    <row r="685" spans="1:7" ht="28.5">
      <c r="A685" s="1491">
        <v>16</v>
      </c>
      <c r="B685" s="972" t="s">
        <v>603</v>
      </c>
      <c r="C685" s="3" t="s">
        <v>23</v>
      </c>
      <c r="D685" s="1017">
        <v>7</v>
      </c>
      <c r="E685" s="1004"/>
      <c r="F685" s="994">
        <f t="shared" si="57"/>
        <v>0</v>
      </c>
    </row>
    <row r="686" spans="1:7" ht="28.5">
      <c r="A686" s="998">
        <v>17</v>
      </c>
      <c r="B686" s="972" t="s">
        <v>604</v>
      </c>
      <c r="C686" s="3" t="s">
        <v>23</v>
      </c>
      <c r="D686" s="1017">
        <v>1</v>
      </c>
      <c r="E686" s="1004"/>
      <c r="F686" s="994">
        <f t="shared" si="57"/>
        <v>0</v>
      </c>
    </row>
    <row r="687" spans="1:7">
      <c r="A687" s="998">
        <v>18</v>
      </c>
      <c r="B687" s="972" t="s">
        <v>142</v>
      </c>
      <c r="C687" s="3" t="s">
        <v>3</v>
      </c>
      <c r="D687" s="1017">
        <v>12</v>
      </c>
      <c r="E687" s="1004"/>
      <c r="F687" s="994">
        <f t="shared" si="57"/>
        <v>0</v>
      </c>
    </row>
    <row r="688" spans="1:7" ht="28.5">
      <c r="A688" s="998">
        <v>19</v>
      </c>
      <c r="B688" s="51" t="s">
        <v>605</v>
      </c>
      <c r="C688" s="3" t="s">
        <v>3</v>
      </c>
      <c r="D688" s="1017">
        <f>2*1.4</f>
        <v>2.8</v>
      </c>
      <c r="E688" s="1004"/>
      <c r="F688" s="994">
        <f t="shared" si="57"/>
        <v>0</v>
      </c>
    </row>
    <row r="689" spans="1:6" ht="28.5">
      <c r="A689" s="1491">
        <v>20</v>
      </c>
      <c r="B689" s="51" t="s">
        <v>606</v>
      </c>
      <c r="C689" s="3" t="s">
        <v>4</v>
      </c>
      <c r="D689" s="1017">
        <v>1</v>
      </c>
      <c r="E689" s="1004"/>
      <c r="F689" s="994">
        <f t="shared" si="57"/>
        <v>0</v>
      </c>
    </row>
    <row r="690" spans="1:6" ht="15.75" thickBot="1">
      <c r="A690" s="998">
        <v>21</v>
      </c>
      <c r="B690" s="51" t="s">
        <v>607</v>
      </c>
      <c r="C690" s="174" t="s">
        <v>3</v>
      </c>
      <c r="D690" s="1530">
        <f>3.5*1</f>
        <v>3.5</v>
      </c>
      <c r="E690" s="1531"/>
      <c r="F690" s="994">
        <f t="shared" si="57"/>
        <v>0</v>
      </c>
    </row>
    <row r="691" spans="1:6" ht="15.75" thickBot="1">
      <c r="A691" s="1532"/>
      <c r="B691" s="1533"/>
      <c r="C691" s="1534"/>
      <c r="D691" s="1534"/>
      <c r="E691" s="1535"/>
      <c r="F691" s="74"/>
    </row>
    <row r="692" spans="1:6" ht="16.5" thickBot="1">
      <c r="A692" s="1906" t="s">
        <v>5</v>
      </c>
      <c r="B692" s="1907"/>
      <c r="C692" s="1907"/>
      <c r="D692" s="1907"/>
      <c r="E692" s="1907"/>
      <c r="F692" s="1120">
        <f>ROUND(SUM(F670:F691),0)</f>
        <v>0</v>
      </c>
    </row>
    <row r="693" spans="1:6" ht="30" customHeight="1" thickBot="1"/>
    <row r="694" spans="1:6" ht="33.75" customHeight="1" thickBot="1">
      <c r="A694" s="1110"/>
      <c r="B694" s="1973" t="s">
        <v>609</v>
      </c>
      <c r="C694" s="1973"/>
      <c r="D694" s="1973"/>
      <c r="E694" s="1973"/>
      <c r="F694" s="1066" t="s">
        <v>214</v>
      </c>
    </row>
    <row r="695" spans="1:6" ht="15.75">
      <c r="A695" s="1082" t="s">
        <v>619</v>
      </c>
      <c r="B695" s="1083" t="s">
        <v>7</v>
      </c>
      <c r="C695" s="1084" t="s">
        <v>0</v>
      </c>
      <c r="D695" s="1084" t="s">
        <v>8</v>
      </c>
      <c r="E695" s="1111" t="s">
        <v>2</v>
      </c>
      <c r="F695" s="1112" t="s">
        <v>9</v>
      </c>
    </row>
    <row r="696" spans="1:6">
      <c r="A696" s="998"/>
      <c r="B696" s="1000" t="s">
        <v>79</v>
      </c>
      <c r="C696" s="996" t="s">
        <v>80</v>
      </c>
      <c r="D696" s="997">
        <v>4</v>
      </c>
      <c r="E696" s="983"/>
      <c r="F696" s="994">
        <f>+ROUND(E696*D696,0)</f>
        <v>0</v>
      </c>
    </row>
    <row r="697" spans="1:6" ht="30">
      <c r="A697" s="1113"/>
      <c r="B697" s="980" t="s">
        <v>130</v>
      </c>
      <c r="C697" s="1114" t="s">
        <v>80</v>
      </c>
      <c r="D697" s="1115">
        <v>1</v>
      </c>
      <c r="E697" s="983"/>
      <c r="F697" s="994">
        <f t="shared" ref="F697:F710" si="58">+ROUND(E697*D697,0)</f>
        <v>0</v>
      </c>
    </row>
    <row r="698" spans="1:6">
      <c r="A698" s="1113"/>
      <c r="B698" s="1000" t="s">
        <v>150</v>
      </c>
      <c r="C698" s="996" t="s">
        <v>4</v>
      </c>
      <c r="D698" s="997">
        <v>1.2100000000000002</v>
      </c>
      <c r="E698" s="983"/>
      <c r="F698" s="994">
        <f t="shared" si="58"/>
        <v>0</v>
      </c>
    </row>
    <row r="699" spans="1:6">
      <c r="A699" s="998"/>
      <c r="B699" s="1000" t="s">
        <v>135</v>
      </c>
      <c r="C699" s="996" t="s">
        <v>4</v>
      </c>
      <c r="D699" s="997">
        <v>1.2100000000000002</v>
      </c>
      <c r="E699" s="983"/>
      <c r="F699" s="994">
        <f t="shared" si="58"/>
        <v>0</v>
      </c>
    </row>
    <row r="700" spans="1:6">
      <c r="A700" s="998"/>
      <c r="B700" s="1000" t="s">
        <v>83</v>
      </c>
      <c r="C700" s="996" t="s">
        <v>4</v>
      </c>
      <c r="D700" s="997">
        <v>1.2100000000000002</v>
      </c>
      <c r="E700" s="983"/>
      <c r="F700" s="994">
        <f t="shared" si="58"/>
        <v>0</v>
      </c>
    </row>
    <row r="701" spans="1:6">
      <c r="A701" s="1113"/>
      <c r="B701" s="1000" t="s">
        <v>161</v>
      </c>
      <c r="C701" s="996" t="s">
        <v>4</v>
      </c>
      <c r="D701" s="997">
        <v>0.12800000000000003</v>
      </c>
      <c r="E701" s="983"/>
      <c r="F701" s="994">
        <f t="shared" si="58"/>
        <v>0</v>
      </c>
    </row>
    <row r="702" spans="1:6">
      <c r="A702" s="998"/>
      <c r="B702" s="1000" t="s">
        <v>84</v>
      </c>
      <c r="C702" s="996" t="s">
        <v>3</v>
      </c>
      <c r="D702" s="997">
        <v>4.2</v>
      </c>
      <c r="E702" s="983"/>
      <c r="F702" s="994">
        <f t="shared" si="58"/>
        <v>0</v>
      </c>
    </row>
    <row r="703" spans="1:6" ht="16.5" customHeight="1">
      <c r="A703" s="998"/>
      <c r="B703" s="980" t="s">
        <v>251</v>
      </c>
      <c r="C703" s="996" t="s">
        <v>63</v>
      </c>
      <c r="D703" s="997">
        <v>12</v>
      </c>
      <c r="E703" s="983"/>
      <c r="F703" s="994">
        <f t="shared" si="58"/>
        <v>0</v>
      </c>
    </row>
    <row r="704" spans="1:6">
      <c r="A704" s="1113"/>
      <c r="B704" s="1000" t="s">
        <v>141</v>
      </c>
      <c r="C704" s="996" t="s">
        <v>4</v>
      </c>
      <c r="D704" s="997">
        <v>0.42429203673205107</v>
      </c>
      <c r="E704" s="983"/>
      <c r="F704" s="994">
        <f t="shared" si="58"/>
        <v>0</v>
      </c>
    </row>
    <row r="705" spans="1:6" ht="30">
      <c r="A705" s="998"/>
      <c r="B705" s="980" t="s">
        <v>162</v>
      </c>
      <c r="C705" s="981" t="s">
        <v>3</v>
      </c>
      <c r="D705" s="982">
        <v>3.6</v>
      </c>
      <c r="E705" s="983"/>
      <c r="F705" s="994">
        <f t="shared" si="58"/>
        <v>0</v>
      </c>
    </row>
    <row r="706" spans="1:6">
      <c r="A706" s="998"/>
      <c r="B706" s="1029" t="s">
        <v>165</v>
      </c>
      <c r="C706" s="1536" t="s">
        <v>62</v>
      </c>
      <c r="D706" s="1537">
        <v>1</v>
      </c>
      <c r="E706" s="983"/>
      <c r="F706" s="994">
        <f t="shared" si="58"/>
        <v>0</v>
      </c>
    </row>
    <row r="707" spans="1:6">
      <c r="A707" s="1538"/>
      <c r="B707" s="1093" t="s">
        <v>164</v>
      </c>
      <c r="C707" s="1128" t="s">
        <v>86</v>
      </c>
      <c r="D707" s="1129">
        <v>2</v>
      </c>
      <c r="E707" s="1032"/>
      <c r="F707" s="994">
        <f t="shared" si="58"/>
        <v>0</v>
      </c>
    </row>
    <row r="708" spans="1:6">
      <c r="A708" s="998"/>
      <c r="B708" s="1001" t="s">
        <v>133</v>
      </c>
      <c r="C708" s="1006" t="s">
        <v>3</v>
      </c>
      <c r="D708" s="1007">
        <v>1.9599999999999997</v>
      </c>
      <c r="E708" s="983"/>
      <c r="F708" s="994">
        <f t="shared" si="58"/>
        <v>0</v>
      </c>
    </row>
    <row r="709" spans="1:6">
      <c r="A709" s="998"/>
      <c r="B709" s="1506" t="s">
        <v>410</v>
      </c>
      <c r="C709" s="1052" t="s">
        <v>4</v>
      </c>
      <c r="D709" s="1007">
        <v>0.32400000000000007</v>
      </c>
      <c r="E709" s="983"/>
      <c r="F709" s="994">
        <f t="shared" si="58"/>
        <v>0</v>
      </c>
    </row>
    <row r="710" spans="1:6">
      <c r="A710" s="998"/>
      <c r="B710" s="1000" t="s">
        <v>142</v>
      </c>
      <c r="C710" s="1006" t="s">
        <v>3</v>
      </c>
      <c r="D710" s="1007">
        <v>1.2800000000000005</v>
      </c>
      <c r="E710" s="1004"/>
      <c r="F710" s="994">
        <f t="shared" si="58"/>
        <v>0</v>
      </c>
    </row>
    <row r="711" spans="1:6" ht="16.5" thickBot="1">
      <c r="A711" s="1849" t="s">
        <v>5</v>
      </c>
      <c r="B711" s="1850"/>
      <c r="C711" s="1850"/>
      <c r="D711" s="1850"/>
      <c r="E711" s="1851"/>
      <c r="F711" s="1539">
        <f>+SUM(F696:F710)</f>
        <v>0</v>
      </c>
    </row>
    <row r="712" spans="1:6" ht="25.5" customHeight="1" thickBot="1"/>
    <row r="713" spans="1:6" ht="15.75" customHeight="1">
      <c r="A713" s="1540"/>
      <c r="B713" s="1974" t="s">
        <v>610</v>
      </c>
      <c r="C713" s="1975"/>
      <c r="D713" s="1975"/>
      <c r="E713" s="1976"/>
      <c r="F713" s="1541" t="s">
        <v>215</v>
      </c>
    </row>
    <row r="714" spans="1:6" ht="15.75">
      <c r="A714" s="1542" t="s">
        <v>620</v>
      </c>
      <c r="B714" s="1543" t="s">
        <v>7</v>
      </c>
      <c r="C714" s="1544" t="s">
        <v>0</v>
      </c>
      <c r="D714" s="1544" t="s">
        <v>8</v>
      </c>
      <c r="E714" s="1544" t="s">
        <v>2</v>
      </c>
      <c r="F714" s="1545" t="s">
        <v>9</v>
      </c>
    </row>
    <row r="715" spans="1:6" ht="15.75">
      <c r="A715" s="1542"/>
      <c r="B715" s="1546" t="s">
        <v>159</v>
      </c>
      <c r="C715" s="1052" t="s">
        <v>31</v>
      </c>
      <c r="D715" s="1547">
        <v>4</v>
      </c>
      <c r="E715" s="1548"/>
      <c r="F715" s="1549">
        <f>+ROUND(E715*D715,0)</f>
        <v>0</v>
      </c>
    </row>
    <row r="716" spans="1:6" ht="15.75">
      <c r="A716" s="1542"/>
      <c r="B716" s="1546" t="s">
        <v>160</v>
      </c>
      <c r="C716" s="1052" t="s">
        <v>22</v>
      </c>
      <c r="D716" s="1547">
        <f>2*0.15</f>
        <v>0.3</v>
      </c>
      <c r="E716" s="1548"/>
      <c r="F716" s="1549">
        <f t="shared" ref="F716:F725" si="59">+ROUND(E716*D716,0)</f>
        <v>0</v>
      </c>
    </row>
    <row r="717" spans="1:6" ht="15.75">
      <c r="A717" s="1542"/>
      <c r="B717" s="1000" t="s">
        <v>150</v>
      </c>
      <c r="C717" s="996" t="s">
        <v>40</v>
      </c>
      <c r="D717" s="997">
        <f>2*0.3*0.5</f>
        <v>0.3</v>
      </c>
      <c r="E717" s="1004"/>
      <c r="F717" s="1549">
        <f t="shared" si="59"/>
        <v>0</v>
      </c>
    </row>
    <row r="718" spans="1:6" ht="15.75">
      <c r="A718" s="1542"/>
      <c r="B718" s="1000" t="s">
        <v>135</v>
      </c>
      <c r="C718" s="996" t="s">
        <v>40</v>
      </c>
      <c r="D718" s="997">
        <f>D716*0.12</f>
        <v>3.5999999999999997E-2</v>
      </c>
      <c r="E718" s="1004"/>
      <c r="F718" s="1549">
        <f t="shared" si="59"/>
        <v>0</v>
      </c>
    </row>
    <row r="719" spans="1:6" ht="15.75">
      <c r="A719" s="1542"/>
      <c r="B719" s="1000" t="s">
        <v>83</v>
      </c>
      <c r="C719" s="996" t="s">
        <v>40</v>
      </c>
      <c r="D719" s="997">
        <f>+D718</f>
        <v>3.5999999999999997E-2</v>
      </c>
      <c r="E719" s="1004"/>
      <c r="F719" s="1549">
        <f t="shared" si="59"/>
        <v>0</v>
      </c>
    </row>
    <row r="720" spans="1:6" ht="15.75">
      <c r="A720" s="1542"/>
      <c r="B720" s="1000" t="s">
        <v>177</v>
      </c>
      <c r="C720" s="1019" t="s">
        <v>40</v>
      </c>
      <c r="D720" s="1017">
        <f>2*0.3*0.3</f>
        <v>0.18</v>
      </c>
      <c r="E720" s="1004"/>
      <c r="F720" s="1549">
        <f t="shared" si="59"/>
        <v>0</v>
      </c>
    </row>
    <row r="721" spans="1:6" ht="15.75">
      <c r="A721" s="1542"/>
      <c r="B721" s="1000" t="s">
        <v>161</v>
      </c>
      <c r="C721" s="996" t="s">
        <v>40</v>
      </c>
      <c r="D721" s="997">
        <f>+D716*0.1</f>
        <v>0.03</v>
      </c>
      <c r="E721" s="1004"/>
      <c r="F721" s="1549">
        <f t="shared" si="59"/>
        <v>0</v>
      </c>
    </row>
    <row r="722" spans="1:6" ht="30">
      <c r="A722" s="1542"/>
      <c r="B722" s="1000" t="s">
        <v>414</v>
      </c>
      <c r="C722" s="996" t="s">
        <v>22</v>
      </c>
      <c r="D722" s="1017">
        <f>+D716</f>
        <v>0.3</v>
      </c>
      <c r="E722" s="1004"/>
      <c r="F722" s="1549">
        <f t="shared" si="59"/>
        <v>0</v>
      </c>
    </row>
    <row r="723" spans="1:6" ht="15.75">
      <c r="A723" s="1550"/>
      <c r="B723" s="1551" t="s">
        <v>612</v>
      </c>
      <c r="C723" s="1552" t="s">
        <v>43</v>
      </c>
      <c r="D723" s="1553">
        <v>2</v>
      </c>
      <c r="E723" s="1554"/>
      <c r="F723" s="1549">
        <f t="shared" si="59"/>
        <v>0</v>
      </c>
    </row>
    <row r="724" spans="1:6" ht="15.75">
      <c r="A724" s="1544"/>
      <c r="B724" s="1546" t="s">
        <v>395</v>
      </c>
      <c r="C724" s="1555" t="s">
        <v>43</v>
      </c>
      <c r="D724" s="1553">
        <v>6</v>
      </c>
      <c r="E724" s="1548"/>
      <c r="F724" s="1549">
        <f t="shared" si="59"/>
        <v>0</v>
      </c>
    </row>
    <row r="725" spans="1:6">
      <c r="A725" s="1097"/>
      <c r="B725" s="1556" t="s">
        <v>140</v>
      </c>
      <c r="C725" s="996" t="s">
        <v>0</v>
      </c>
      <c r="D725" s="1017">
        <v>2</v>
      </c>
      <c r="E725" s="1004"/>
      <c r="F725" s="1549">
        <f t="shared" si="59"/>
        <v>0</v>
      </c>
    </row>
    <row r="726" spans="1:6" ht="16.5" thickBot="1">
      <c r="A726" s="1557" t="s">
        <v>5</v>
      </c>
      <c r="B726" s="1558"/>
      <c r="C726" s="1558"/>
      <c r="D726" s="1558"/>
      <c r="E726" s="1558"/>
      <c r="F726" s="1559">
        <f>ROUND(SUM(F715:F725),0)</f>
        <v>0</v>
      </c>
    </row>
    <row r="727" spans="1:6" ht="15.75">
      <c r="A727" s="1437"/>
      <c r="B727" s="1437"/>
      <c r="C727" s="1437"/>
      <c r="D727" s="1437"/>
      <c r="E727" s="1437"/>
      <c r="F727" s="916"/>
    </row>
    <row r="728" spans="1:6" ht="16.5" thickBot="1">
      <c r="A728" s="1437"/>
      <c r="B728" s="1437"/>
      <c r="C728" s="1437"/>
      <c r="D728" s="1437"/>
      <c r="E728" s="1437"/>
      <c r="F728" s="916"/>
    </row>
    <row r="729" spans="1:6" ht="15.75" customHeight="1">
      <c r="A729" s="1540"/>
      <c r="B729" s="1974" t="s">
        <v>613</v>
      </c>
      <c r="C729" s="1975"/>
      <c r="D729" s="1975"/>
      <c r="E729" s="1976"/>
      <c r="F729" s="1541" t="s">
        <v>215</v>
      </c>
    </row>
    <row r="730" spans="1:6" ht="15.75">
      <c r="A730" s="1542" t="s">
        <v>621</v>
      </c>
      <c r="B730" s="1543" t="s">
        <v>7</v>
      </c>
      <c r="C730" s="1544" t="s">
        <v>0</v>
      </c>
      <c r="D730" s="1544" t="s">
        <v>8</v>
      </c>
      <c r="E730" s="1544" t="s">
        <v>2</v>
      </c>
      <c r="F730" s="1545" t="s">
        <v>9</v>
      </c>
    </row>
    <row r="731" spans="1:6" ht="15.75">
      <c r="A731" s="1542"/>
      <c r="B731" s="1546" t="s">
        <v>159</v>
      </c>
      <c r="C731" s="1052" t="s">
        <v>31</v>
      </c>
      <c r="D731" s="1547">
        <v>12</v>
      </c>
      <c r="E731" s="1548"/>
      <c r="F731" s="1549">
        <f>+ROUND(E731*D731,0)</f>
        <v>0</v>
      </c>
    </row>
    <row r="732" spans="1:6" ht="15.75">
      <c r="A732" s="1542"/>
      <c r="B732" s="1546" t="s">
        <v>160</v>
      </c>
      <c r="C732" s="1052" t="s">
        <v>22</v>
      </c>
      <c r="D732" s="1547">
        <f>6*0.5</f>
        <v>3</v>
      </c>
      <c r="E732" s="1548"/>
      <c r="F732" s="1549">
        <f t="shared" ref="F732:F741" si="60">+ROUND(E732*D732,0)</f>
        <v>0</v>
      </c>
    </row>
    <row r="733" spans="1:6" ht="15.75">
      <c r="A733" s="1542"/>
      <c r="B733" s="1000" t="s">
        <v>150</v>
      </c>
      <c r="C733" s="996" t="s">
        <v>40</v>
      </c>
      <c r="D733" s="997">
        <f>6*0.5*0.5</f>
        <v>1.5</v>
      </c>
      <c r="E733" s="1004"/>
      <c r="F733" s="1549">
        <f t="shared" si="60"/>
        <v>0</v>
      </c>
    </row>
    <row r="734" spans="1:6" ht="15.75">
      <c r="A734" s="1542"/>
      <c r="B734" s="1000" t="s">
        <v>135</v>
      </c>
      <c r="C734" s="996" t="s">
        <v>40</v>
      </c>
      <c r="D734" s="997">
        <f>D732*0.12+(6*0.1*0.5)</f>
        <v>0.66</v>
      </c>
      <c r="E734" s="1004"/>
      <c r="F734" s="1549">
        <f t="shared" si="60"/>
        <v>0</v>
      </c>
    </row>
    <row r="735" spans="1:6" ht="15.75">
      <c r="A735" s="1542"/>
      <c r="B735" s="1000" t="s">
        <v>83</v>
      </c>
      <c r="C735" s="996" t="s">
        <v>40</v>
      </c>
      <c r="D735" s="997">
        <f>+D734</f>
        <v>0.66</v>
      </c>
      <c r="E735" s="1004"/>
      <c r="F735" s="1549">
        <f t="shared" si="60"/>
        <v>0</v>
      </c>
    </row>
    <row r="736" spans="1:6" ht="15.75">
      <c r="A736" s="1542"/>
      <c r="B736" s="1000" t="s">
        <v>177</v>
      </c>
      <c r="C736" s="1019" t="s">
        <v>40</v>
      </c>
      <c r="D736" s="1017">
        <f>0.5*0.3*6</f>
        <v>0.89999999999999991</v>
      </c>
      <c r="E736" s="1004"/>
      <c r="F736" s="1549">
        <f t="shared" si="60"/>
        <v>0</v>
      </c>
    </row>
    <row r="737" spans="1:6" ht="15.75">
      <c r="A737" s="1542"/>
      <c r="B737" s="1000" t="s">
        <v>161</v>
      </c>
      <c r="C737" s="996" t="s">
        <v>40</v>
      </c>
      <c r="D737" s="997">
        <f>+D732*0.1</f>
        <v>0.30000000000000004</v>
      </c>
      <c r="E737" s="1004"/>
      <c r="F737" s="1549">
        <f t="shared" si="60"/>
        <v>0</v>
      </c>
    </row>
    <row r="738" spans="1:6" ht="30">
      <c r="A738" s="1542"/>
      <c r="B738" s="1000" t="s">
        <v>414</v>
      </c>
      <c r="C738" s="996" t="s">
        <v>22</v>
      </c>
      <c r="D738" s="1017">
        <f>+D732</f>
        <v>3</v>
      </c>
      <c r="E738" s="1004"/>
      <c r="F738" s="1549">
        <f t="shared" si="60"/>
        <v>0</v>
      </c>
    </row>
    <row r="739" spans="1:6" ht="15.75">
      <c r="A739" s="1550"/>
      <c r="B739" s="1551" t="s">
        <v>166</v>
      </c>
      <c r="C739" s="1552" t="s">
        <v>43</v>
      </c>
      <c r="D739" s="1553">
        <v>2</v>
      </c>
      <c r="E739" s="1554"/>
      <c r="F739" s="1549">
        <f t="shared" si="60"/>
        <v>0</v>
      </c>
    </row>
    <row r="740" spans="1:6" ht="15.75">
      <c r="A740" s="1544"/>
      <c r="B740" s="1546" t="s">
        <v>82</v>
      </c>
      <c r="C740" s="1555" t="s">
        <v>43</v>
      </c>
      <c r="D740" s="1553">
        <v>12</v>
      </c>
      <c r="E740" s="1548"/>
      <c r="F740" s="1549">
        <f t="shared" si="60"/>
        <v>0</v>
      </c>
    </row>
    <row r="741" spans="1:6">
      <c r="A741" s="1097"/>
      <c r="B741" s="1556" t="s">
        <v>140</v>
      </c>
      <c r="C741" s="996" t="s">
        <v>0</v>
      </c>
      <c r="D741" s="1017">
        <v>2</v>
      </c>
      <c r="E741" s="1004"/>
      <c r="F741" s="1549">
        <f t="shared" si="60"/>
        <v>0</v>
      </c>
    </row>
    <row r="742" spans="1:6" ht="16.5" thickBot="1">
      <c r="A742" s="1557" t="s">
        <v>5</v>
      </c>
      <c r="B742" s="1558"/>
      <c r="C742" s="1558"/>
      <c r="D742" s="1558"/>
      <c r="E742" s="1558"/>
      <c r="F742" s="1559">
        <f>ROUND(SUM(F731:F741),0)</f>
        <v>0</v>
      </c>
    </row>
    <row r="743" spans="1:6" ht="15.75" thickBot="1"/>
    <row r="744" spans="1:6" ht="15.75">
      <c r="A744" s="1540"/>
      <c r="B744" s="1914" t="str">
        <f>+[6]Presupuesto!$B$36</f>
        <v>Reparación de domiciliaria alcantarillado de 6" desarrollo 2ml incluye accesorios</v>
      </c>
      <c r="C744" s="1915"/>
      <c r="D744" s="1915"/>
      <c r="E744" s="1916"/>
      <c r="F744" s="1541" t="s">
        <v>215</v>
      </c>
    </row>
    <row r="745" spans="1:6" ht="15.75">
      <c r="A745" s="1542" t="s">
        <v>622</v>
      </c>
      <c r="B745" s="1543" t="s">
        <v>7</v>
      </c>
      <c r="C745" s="1544" t="s">
        <v>0</v>
      </c>
      <c r="D745" s="1544" t="s">
        <v>8</v>
      </c>
      <c r="E745" s="1544" t="s">
        <v>2</v>
      </c>
      <c r="F745" s="1545" t="s">
        <v>9</v>
      </c>
    </row>
    <row r="746" spans="1:6" ht="15.75">
      <c r="A746" s="1542"/>
      <c r="B746" s="1546" t="s">
        <v>159</v>
      </c>
      <c r="C746" s="1052" t="s">
        <v>31</v>
      </c>
      <c r="D746" s="1547">
        <v>2.5</v>
      </c>
      <c r="E746" s="1548"/>
      <c r="F746" s="1549">
        <f>+ROUND(E746*D746,0)</f>
        <v>0</v>
      </c>
    </row>
    <row r="747" spans="1:6" ht="15.75">
      <c r="A747" s="1542"/>
      <c r="B747" s="1546" t="s">
        <v>160</v>
      </c>
      <c r="C747" s="1052" t="s">
        <v>22</v>
      </c>
      <c r="D747" s="1547">
        <f>2.5*0.3</f>
        <v>0.75</v>
      </c>
      <c r="E747" s="1548"/>
      <c r="F747" s="1549">
        <f t="shared" ref="F747:F756" si="61">+ROUND(E747*D747,0)</f>
        <v>0</v>
      </c>
    </row>
    <row r="748" spans="1:6" ht="15.75">
      <c r="A748" s="1542"/>
      <c r="B748" s="1000" t="s">
        <v>150</v>
      </c>
      <c r="C748" s="996" t="s">
        <v>40</v>
      </c>
      <c r="D748" s="997">
        <f>2.5*0.3*1.2</f>
        <v>0.89999999999999991</v>
      </c>
      <c r="E748" s="1004"/>
      <c r="F748" s="1549">
        <f t="shared" si="61"/>
        <v>0</v>
      </c>
    </row>
    <row r="749" spans="1:6" ht="15.75">
      <c r="A749" s="1542"/>
      <c r="B749" s="1000" t="s">
        <v>135</v>
      </c>
      <c r="C749" s="996" t="s">
        <v>40</v>
      </c>
      <c r="D749" s="997">
        <f>D747*0.12+(2.5*0.1*0.5)</f>
        <v>0.215</v>
      </c>
      <c r="E749" s="1004"/>
      <c r="F749" s="1549">
        <f t="shared" si="61"/>
        <v>0</v>
      </c>
    </row>
    <row r="750" spans="1:6" ht="15.75">
      <c r="A750" s="1542"/>
      <c r="B750" s="1000" t="s">
        <v>83</v>
      </c>
      <c r="C750" s="996" t="s">
        <v>40</v>
      </c>
      <c r="D750" s="997">
        <f>+D749</f>
        <v>0.215</v>
      </c>
      <c r="E750" s="1004"/>
      <c r="F750" s="1549">
        <f t="shared" si="61"/>
        <v>0</v>
      </c>
    </row>
    <row r="751" spans="1:6" ht="15.75">
      <c r="A751" s="1542"/>
      <c r="B751" s="1000" t="s">
        <v>177</v>
      </c>
      <c r="C751" s="1019" t="s">
        <v>40</v>
      </c>
      <c r="D751" s="1017">
        <f>0.5*0.3*2.5</f>
        <v>0.375</v>
      </c>
      <c r="E751" s="1004"/>
      <c r="F751" s="1549">
        <f t="shared" si="61"/>
        <v>0</v>
      </c>
    </row>
    <row r="752" spans="1:6" ht="15.75">
      <c r="A752" s="1542"/>
      <c r="B752" s="1000" t="s">
        <v>161</v>
      </c>
      <c r="C752" s="996" t="s">
        <v>40</v>
      </c>
      <c r="D752" s="997">
        <f>+D747*0.1</f>
        <v>7.5000000000000011E-2</v>
      </c>
      <c r="E752" s="1004"/>
      <c r="F752" s="1549">
        <f t="shared" si="61"/>
        <v>0</v>
      </c>
    </row>
    <row r="753" spans="1:6" ht="30">
      <c r="A753" s="1542"/>
      <c r="B753" s="1000" t="s">
        <v>414</v>
      </c>
      <c r="C753" s="996" t="s">
        <v>22</v>
      </c>
      <c r="D753" s="1017">
        <f>+D747</f>
        <v>0.75</v>
      </c>
      <c r="E753" s="1004"/>
      <c r="F753" s="1549">
        <f t="shared" si="61"/>
        <v>0</v>
      </c>
    </row>
    <row r="754" spans="1:6" ht="15.75">
      <c r="A754" s="1550"/>
      <c r="B754" s="1551" t="s">
        <v>631</v>
      </c>
      <c r="C754" s="1552" t="s">
        <v>43</v>
      </c>
      <c r="D754" s="1553">
        <v>2</v>
      </c>
      <c r="E754" s="914"/>
      <c r="F754" s="1549">
        <f t="shared" si="61"/>
        <v>0</v>
      </c>
    </row>
    <row r="755" spans="1:6" ht="15.75">
      <c r="A755" s="1544"/>
      <c r="B755" s="1546" t="s">
        <v>632</v>
      </c>
      <c r="C755" s="1555" t="s">
        <v>43</v>
      </c>
      <c r="D755" s="1553">
        <v>2</v>
      </c>
      <c r="E755" s="912"/>
      <c r="F755" s="1549">
        <f t="shared" si="61"/>
        <v>0</v>
      </c>
    </row>
    <row r="756" spans="1:6">
      <c r="A756" s="1097"/>
      <c r="B756" s="1556"/>
      <c r="C756" s="996"/>
      <c r="D756" s="1017"/>
      <c r="E756" s="1004"/>
      <c r="F756" s="1549">
        <f t="shared" si="61"/>
        <v>0</v>
      </c>
    </row>
    <row r="757" spans="1:6" ht="16.5" thickBot="1">
      <c r="A757" s="1557" t="s">
        <v>5</v>
      </c>
      <c r="B757" s="1558"/>
      <c r="C757" s="1558"/>
      <c r="D757" s="1558"/>
      <c r="E757" s="1558"/>
      <c r="F757" s="1559">
        <f>ROUND(SUM(F746:F756),0)</f>
        <v>0</v>
      </c>
    </row>
    <row r="759" spans="1:6" ht="15.75" thickBot="1"/>
    <row r="760" spans="1:6" ht="15.75" customHeight="1">
      <c r="A760" s="1540"/>
      <c r="B760" s="1914" t="str">
        <f>+[6]Presupuesto!$B$37</f>
        <v>Reparación de domiciliaria alcantarillado de 4" desarrollo 2ml incluye accesorios</v>
      </c>
      <c r="C760" s="1915"/>
      <c r="D760" s="1915"/>
      <c r="E760" s="1916"/>
      <c r="F760" s="1541" t="s">
        <v>215</v>
      </c>
    </row>
    <row r="761" spans="1:6" ht="15.75">
      <c r="A761" s="1542" t="s">
        <v>640</v>
      </c>
      <c r="B761" s="1543" t="s">
        <v>7</v>
      </c>
      <c r="C761" s="1544" t="s">
        <v>0</v>
      </c>
      <c r="D761" s="1544" t="s">
        <v>8</v>
      </c>
      <c r="E761" s="1544" t="s">
        <v>2</v>
      </c>
      <c r="F761" s="1545" t="s">
        <v>9</v>
      </c>
    </row>
    <row r="762" spans="1:6" ht="15.75">
      <c r="A762" s="1542"/>
      <c r="B762" s="1546" t="s">
        <v>159</v>
      </c>
      <c r="C762" s="1052" t="s">
        <v>31</v>
      </c>
      <c r="D762" s="1547">
        <v>2.5</v>
      </c>
      <c r="E762" s="1548"/>
      <c r="F762" s="1549">
        <f>+ROUND(E762*D762,0)</f>
        <v>0</v>
      </c>
    </row>
    <row r="763" spans="1:6" ht="15.75">
      <c r="A763" s="1542"/>
      <c r="B763" s="1546" t="s">
        <v>160</v>
      </c>
      <c r="C763" s="1052" t="s">
        <v>22</v>
      </c>
      <c r="D763" s="1547">
        <f>2.5*0.3</f>
        <v>0.75</v>
      </c>
      <c r="E763" s="1548"/>
      <c r="F763" s="1549">
        <f t="shared" ref="F763:F772" si="62">+ROUND(E763*D763,0)</f>
        <v>0</v>
      </c>
    </row>
    <row r="764" spans="1:6" ht="15.75">
      <c r="A764" s="1542"/>
      <c r="B764" s="1000" t="s">
        <v>150</v>
      </c>
      <c r="C764" s="996" t="s">
        <v>40</v>
      </c>
      <c r="D764" s="997">
        <f>2.5*0.3*1.2</f>
        <v>0.89999999999999991</v>
      </c>
      <c r="E764" s="1004"/>
      <c r="F764" s="1549">
        <f t="shared" si="62"/>
        <v>0</v>
      </c>
    </row>
    <row r="765" spans="1:6" ht="15.75">
      <c r="A765" s="1542"/>
      <c r="B765" s="1000" t="s">
        <v>135</v>
      </c>
      <c r="C765" s="996" t="s">
        <v>40</v>
      </c>
      <c r="D765" s="997">
        <f>D763*0.12+(2.5*0.1*0.5)</f>
        <v>0.215</v>
      </c>
      <c r="E765" s="1004"/>
      <c r="F765" s="1549">
        <f t="shared" si="62"/>
        <v>0</v>
      </c>
    </row>
    <row r="766" spans="1:6" ht="15.75">
      <c r="A766" s="1542"/>
      <c r="B766" s="1000" t="s">
        <v>83</v>
      </c>
      <c r="C766" s="996" t="s">
        <v>40</v>
      </c>
      <c r="D766" s="997">
        <f>+D765</f>
        <v>0.215</v>
      </c>
      <c r="E766" s="1004"/>
      <c r="F766" s="1549">
        <f t="shared" si="62"/>
        <v>0</v>
      </c>
    </row>
    <row r="767" spans="1:6" ht="15.75">
      <c r="A767" s="1542"/>
      <c r="B767" s="1000" t="s">
        <v>177</v>
      </c>
      <c r="C767" s="1019" t="s">
        <v>40</v>
      </c>
      <c r="D767" s="1017">
        <f>0.5*0.3*2.5</f>
        <v>0.375</v>
      </c>
      <c r="E767" s="1004"/>
      <c r="F767" s="1549">
        <f t="shared" si="62"/>
        <v>0</v>
      </c>
    </row>
    <row r="768" spans="1:6" ht="15.75">
      <c r="A768" s="1542"/>
      <c r="B768" s="1000" t="s">
        <v>161</v>
      </c>
      <c r="C768" s="996" t="s">
        <v>40</v>
      </c>
      <c r="D768" s="997">
        <f>+D763*0.1</f>
        <v>7.5000000000000011E-2</v>
      </c>
      <c r="E768" s="1004"/>
      <c r="F768" s="1549">
        <f t="shared" si="62"/>
        <v>0</v>
      </c>
    </row>
    <row r="769" spans="1:6" ht="30">
      <c r="A769" s="1542"/>
      <c r="B769" s="1000" t="s">
        <v>414</v>
      </c>
      <c r="C769" s="996" t="s">
        <v>22</v>
      </c>
      <c r="D769" s="1017">
        <f>+D763</f>
        <v>0.75</v>
      </c>
      <c r="E769" s="1004"/>
      <c r="F769" s="1549">
        <f t="shared" si="62"/>
        <v>0</v>
      </c>
    </row>
    <row r="770" spans="1:6" ht="15.75">
      <c r="A770" s="1550"/>
      <c r="B770" s="1551" t="s">
        <v>633</v>
      </c>
      <c r="C770" s="1552" t="s">
        <v>43</v>
      </c>
      <c r="D770" s="1553">
        <v>2</v>
      </c>
      <c r="E770" s="914"/>
      <c r="F770" s="1549">
        <f t="shared" si="62"/>
        <v>0</v>
      </c>
    </row>
    <row r="771" spans="1:6" ht="15.75">
      <c r="A771" s="1544"/>
      <c r="B771" s="1546" t="s">
        <v>634</v>
      </c>
      <c r="C771" s="1555" t="s">
        <v>43</v>
      </c>
      <c r="D771" s="1553">
        <v>2</v>
      </c>
      <c r="E771" s="912"/>
      <c r="F771" s="1549">
        <f t="shared" si="62"/>
        <v>0</v>
      </c>
    </row>
    <row r="772" spans="1:6">
      <c r="A772" s="1097"/>
      <c r="B772" s="1556"/>
      <c r="C772" s="996"/>
      <c r="D772" s="1017"/>
      <c r="E772" s="1004"/>
      <c r="F772" s="1549">
        <f t="shared" si="62"/>
        <v>0</v>
      </c>
    </row>
    <row r="773" spans="1:6" ht="16.5" thickBot="1">
      <c r="A773" s="1557" t="s">
        <v>5</v>
      </c>
      <c r="B773" s="1558"/>
      <c r="C773" s="1558"/>
      <c r="D773" s="1558"/>
      <c r="E773" s="1558"/>
      <c r="F773" s="1559">
        <f>ROUND(SUM(F762:F772),0)</f>
        <v>0</v>
      </c>
    </row>
    <row r="775" spans="1:6" ht="15.75" thickBot="1"/>
    <row r="776" spans="1:6" ht="15.75" customHeight="1">
      <c r="A776" s="1540"/>
      <c r="B776" s="1914" t="str">
        <f>+[6]Presupuesto!$B$38</f>
        <v>Reparacion acometida domiciliaria acueducto (incluye accesorios)</v>
      </c>
      <c r="C776" s="1915"/>
      <c r="D776" s="1915"/>
      <c r="E776" s="1916"/>
      <c r="F776" s="1541" t="s">
        <v>215</v>
      </c>
    </row>
    <row r="777" spans="1:6" ht="15.75">
      <c r="A777" s="1542" t="s">
        <v>641</v>
      </c>
      <c r="B777" s="1543" t="s">
        <v>7</v>
      </c>
      <c r="C777" s="1544" t="s">
        <v>0</v>
      </c>
      <c r="D777" s="1544" t="s">
        <v>8</v>
      </c>
      <c r="E777" s="1544" t="s">
        <v>2</v>
      </c>
      <c r="F777" s="1545" t="s">
        <v>9</v>
      </c>
    </row>
    <row r="778" spans="1:6" ht="15.75">
      <c r="A778" s="1542"/>
      <c r="B778" s="1546" t="s">
        <v>159</v>
      </c>
      <c r="C778" s="1052" t="s">
        <v>31</v>
      </c>
      <c r="D778" s="1547">
        <v>2.5</v>
      </c>
      <c r="E778" s="1548"/>
      <c r="F778" s="1549">
        <f>+ROUND(E778*D778,0)</f>
        <v>0</v>
      </c>
    </row>
    <row r="779" spans="1:6" ht="15.75">
      <c r="A779" s="1542"/>
      <c r="B779" s="1546" t="s">
        <v>160</v>
      </c>
      <c r="C779" s="1052" t="s">
        <v>22</v>
      </c>
      <c r="D779" s="1547">
        <f>2.5*0.3</f>
        <v>0.75</v>
      </c>
      <c r="E779" s="1548"/>
      <c r="F779" s="1549">
        <f t="shared" ref="F779:F788" si="63">+ROUND(E779*D779,0)</f>
        <v>0</v>
      </c>
    </row>
    <row r="780" spans="1:6" ht="15.75">
      <c r="A780" s="1542"/>
      <c r="B780" s="1000" t="s">
        <v>150</v>
      </c>
      <c r="C780" s="996" t="s">
        <v>40</v>
      </c>
      <c r="D780" s="997">
        <f>2.5*0.3*1.2</f>
        <v>0.89999999999999991</v>
      </c>
      <c r="E780" s="1004"/>
      <c r="F780" s="1549">
        <f t="shared" si="63"/>
        <v>0</v>
      </c>
    </row>
    <row r="781" spans="1:6" ht="15.75">
      <c r="A781" s="1542"/>
      <c r="B781" s="1000" t="s">
        <v>135</v>
      </c>
      <c r="C781" s="996" t="s">
        <v>40</v>
      </c>
      <c r="D781" s="997">
        <f>D779*0.12+(2.5*0.1*0.5)</f>
        <v>0.215</v>
      </c>
      <c r="E781" s="1004"/>
      <c r="F781" s="1549">
        <f t="shared" si="63"/>
        <v>0</v>
      </c>
    </row>
    <row r="782" spans="1:6" ht="16.5" customHeight="1">
      <c r="A782" s="1542"/>
      <c r="B782" s="1000" t="s">
        <v>83</v>
      </c>
      <c r="C782" s="996" t="s">
        <v>40</v>
      </c>
      <c r="D782" s="997">
        <f>+D781</f>
        <v>0.215</v>
      </c>
      <c r="E782" s="1004"/>
      <c r="F782" s="1549">
        <f t="shared" si="63"/>
        <v>0</v>
      </c>
    </row>
    <row r="783" spans="1:6" ht="15.75">
      <c r="A783" s="1542"/>
      <c r="B783" s="1000" t="s">
        <v>177</v>
      </c>
      <c r="C783" s="1019" t="s">
        <v>40</v>
      </c>
      <c r="D783" s="1017">
        <f>0.5*0.3*2.5</f>
        <v>0.375</v>
      </c>
      <c r="E783" s="1004"/>
      <c r="F783" s="1549">
        <f t="shared" si="63"/>
        <v>0</v>
      </c>
    </row>
    <row r="784" spans="1:6" ht="15.75">
      <c r="A784" s="1542"/>
      <c r="B784" s="1000" t="s">
        <v>161</v>
      </c>
      <c r="C784" s="996" t="s">
        <v>40</v>
      </c>
      <c r="D784" s="997">
        <f>+D779*0.1</f>
        <v>7.5000000000000011E-2</v>
      </c>
      <c r="E784" s="1004"/>
      <c r="F784" s="1549">
        <f t="shared" si="63"/>
        <v>0</v>
      </c>
    </row>
    <row r="785" spans="1:6" ht="30">
      <c r="A785" s="1542"/>
      <c r="B785" s="1000" t="s">
        <v>414</v>
      </c>
      <c r="C785" s="996" t="s">
        <v>22</v>
      </c>
      <c r="D785" s="1017">
        <f>+D779</f>
        <v>0.75</v>
      </c>
      <c r="E785" s="1004"/>
      <c r="F785" s="1549">
        <f t="shared" si="63"/>
        <v>0</v>
      </c>
    </row>
    <row r="786" spans="1:6" ht="15.75">
      <c r="A786" s="1550"/>
      <c r="B786" s="1551" t="s">
        <v>635</v>
      </c>
      <c r="C786" s="1552" t="s">
        <v>43</v>
      </c>
      <c r="D786" s="1553">
        <v>2</v>
      </c>
      <c r="E786" s="914"/>
      <c r="F786" s="1549">
        <f t="shared" si="63"/>
        <v>0</v>
      </c>
    </row>
    <row r="787" spans="1:6" ht="15.75">
      <c r="A787" s="1544"/>
      <c r="B787" s="1546" t="s">
        <v>636</v>
      </c>
      <c r="C787" s="1555" t="s">
        <v>43</v>
      </c>
      <c r="D787" s="1553">
        <v>2</v>
      </c>
      <c r="E787" s="912"/>
      <c r="F787" s="1549">
        <f t="shared" si="63"/>
        <v>0</v>
      </c>
    </row>
    <row r="788" spans="1:6">
      <c r="A788" s="1097"/>
      <c r="B788" s="1556"/>
      <c r="C788" s="996"/>
      <c r="D788" s="1017"/>
      <c r="E788" s="1004"/>
      <c r="F788" s="1549">
        <f t="shared" si="63"/>
        <v>0</v>
      </c>
    </row>
    <row r="789" spans="1:6" ht="16.5" thickBot="1">
      <c r="A789" s="1557" t="s">
        <v>5</v>
      </c>
      <c r="B789" s="1558"/>
      <c r="C789" s="1558"/>
      <c r="D789" s="1558"/>
      <c r="E789" s="1558"/>
      <c r="F789" s="1559">
        <f>ROUND(SUM(F778:F788),0)</f>
        <v>0</v>
      </c>
    </row>
    <row r="790" spans="1:6" ht="15.75" thickBot="1"/>
    <row r="791" spans="1:6" ht="16.5" thickBot="1">
      <c r="A791" s="1968" t="s">
        <v>637</v>
      </c>
      <c r="B791" s="1969"/>
      <c r="C791" s="1969"/>
      <c r="D791" s="1969"/>
      <c r="E791" s="1969"/>
      <c r="F791" s="1970"/>
    </row>
    <row r="792" spans="1:6" ht="16.5" thickBot="1">
      <c r="A792" s="57"/>
      <c r="B792" s="1646"/>
      <c r="C792" s="1647"/>
      <c r="D792" s="1648"/>
      <c r="E792" s="1649"/>
      <c r="F792" s="1650"/>
    </row>
    <row r="793" spans="1:6" ht="15.75">
      <c r="A793" s="1651" t="s">
        <v>642</v>
      </c>
      <c r="B793" s="1652" t="s">
        <v>7</v>
      </c>
      <c r="C793" s="1653" t="s">
        <v>0</v>
      </c>
      <c r="D793" s="1653" t="s">
        <v>8</v>
      </c>
      <c r="E793" s="1653" t="s">
        <v>2</v>
      </c>
      <c r="F793" s="1112" t="s">
        <v>9</v>
      </c>
    </row>
    <row r="794" spans="1:6">
      <c r="A794" s="1654"/>
      <c r="B794" s="1655" t="s">
        <v>84</v>
      </c>
      <c r="C794" s="1656" t="s">
        <v>31</v>
      </c>
      <c r="D794" s="1656">
        <v>2.5</v>
      </c>
      <c r="E794" s="1657"/>
      <c r="F794" s="1658">
        <f t="shared" ref="F794:F798" si="64">+E794*D794</f>
        <v>0</v>
      </c>
    </row>
    <row r="795" spans="1:6" ht="18">
      <c r="A795" s="1654"/>
      <c r="B795" s="60" t="s">
        <v>141</v>
      </c>
      <c r="C795" s="87" t="s">
        <v>638</v>
      </c>
      <c r="D795" s="87">
        <v>8.0000000000000002E-3</v>
      </c>
      <c r="E795" s="1659"/>
      <c r="F795" s="1658">
        <f t="shared" si="64"/>
        <v>0</v>
      </c>
    </row>
    <row r="796" spans="1:6">
      <c r="A796" s="1654"/>
      <c r="B796" s="60" t="s">
        <v>145</v>
      </c>
      <c r="C796" s="87" t="s">
        <v>18</v>
      </c>
      <c r="D796" s="87">
        <v>1.3</v>
      </c>
      <c r="E796" s="1659"/>
      <c r="F796" s="1658">
        <f t="shared" si="64"/>
        <v>0</v>
      </c>
    </row>
    <row r="797" spans="1:6">
      <c r="A797" s="1654"/>
      <c r="B797" s="66" t="s">
        <v>24</v>
      </c>
      <c r="C797" s="79" t="s">
        <v>12</v>
      </c>
      <c r="D797" s="79">
        <v>1</v>
      </c>
      <c r="E797" s="1657"/>
      <c r="F797" s="1658">
        <f t="shared" si="64"/>
        <v>0</v>
      </c>
    </row>
    <row r="798" spans="1:6" ht="15.75" thickBot="1">
      <c r="A798" s="1660"/>
      <c r="B798" s="70" t="s">
        <v>25</v>
      </c>
      <c r="C798" s="1661" t="s">
        <v>14</v>
      </c>
      <c r="D798" s="1662">
        <v>0.1</v>
      </c>
      <c r="E798" s="1663"/>
      <c r="F798" s="1664">
        <f t="shared" si="64"/>
        <v>0</v>
      </c>
    </row>
    <row r="799" spans="1:6" ht="16.5" customHeight="1" thickBot="1">
      <c r="A799" s="57"/>
      <c r="B799" s="49"/>
      <c r="C799" s="57"/>
      <c r="D799" s="57"/>
      <c r="E799" s="57"/>
      <c r="F799" s="58"/>
    </row>
    <row r="800" spans="1:6" ht="16.5" thickBot="1">
      <c r="A800" s="1971" t="s">
        <v>5</v>
      </c>
      <c r="B800" s="1972"/>
      <c r="C800" s="1972"/>
      <c r="D800" s="1972"/>
      <c r="E800" s="1972"/>
      <c r="F800" s="1665">
        <f>ROUND(SUM(F794:F798),0)</f>
        <v>0</v>
      </c>
    </row>
    <row r="812" ht="16.5" customHeight="1"/>
    <row r="830" ht="16.5" customHeight="1"/>
    <row r="835" spans="1:6" ht="15.75" hidden="1" thickBot="1"/>
    <row r="836" spans="1:6" ht="16.5" hidden="1" thickBot="1">
      <c r="A836" s="1161"/>
      <c r="B836" s="1872" t="s">
        <v>474</v>
      </c>
      <c r="C836" s="1873"/>
      <c r="D836" s="1873"/>
      <c r="E836" s="1874"/>
      <c r="F836" s="386" t="s">
        <v>399</v>
      </c>
    </row>
    <row r="837" spans="1:6" ht="16.5" hidden="1" thickBot="1">
      <c r="A837" s="1273" t="s">
        <v>417</v>
      </c>
      <c r="B837" s="1438" t="s">
        <v>7</v>
      </c>
      <c r="C837" s="1274" t="s">
        <v>0</v>
      </c>
      <c r="D837" s="1274" t="s">
        <v>8</v>
      </c>
      <c r="E837" s="1274" t="s">
        <v>2</v>
      </c>
      <c r="F837" s="1275" t="s">
        <v>9</v>
      </c>
    </row>
    <row r="838" spans="1:6" hidden="1">
      <c r="A838" s="1276"/>
      <c r="B838" s="1277" t="s">
        <v>79</v>
      </c>
      <c r="C838" s="1278" t="s">
        <v>80</v>
      </c>
      <c r="D838" s="1279">
        <v>1.3</v>
      </c>
      <c r="E838" s="1280">
        <f>+E206</f>
        <v>0</v>
      </c>
      <c r="F838" s="1281">
        <f t="shared" ref="F838:F848" si="65">+ROUND(D838*E838,0)</f>
        <v>0</v>
      </c>
    </row>
    <row r="839" spans="1:6" ht="30" hidden="1">
      <c r="A839" s="1276"/>
      <c r="B839" s="1282" t="s">
        <v>130</v>
      </c>
      <c r="C839" s="396" t="s">
        <v>80</v>
      </c>
      <c r="D839" s="397">
        <v>2.5</v>
      </c>
      <c r="E839" s="897">
        <f>+E207</f>
        <v>0</v>
      </c>
      <c r="F839" s="899">
        <f t="shared" si="65"/>
        <v>0</v>
      </c>
    </row>
    <row r="840" spans="1:6" hidden="1">
      <c r="A840" s="1283"/>
      <c r="B840" s="1284" t="s">
        <v>81</v>
      </c>
      <c r="C840" s="391" t="s">
        <v>62</v>
      </c>
      <c r="D840" s="1279">
        <v>0.2</v>
      </c>
      <c r="E840" s="897">
        <f>+E208</f>
        <v>0</v>
      </c>
      <c r="F840" s="899">
        <f t="shared" si="65"/>
        <v>0</v>
      </c>
    </row>
    <row r="841" spans="1:6" hidden="1">
      <c r="A841" s="1283"/>
      <c r="B841" s="1285" t="s">
        <v>159</v>
      </c>
      <c r="C841" s="391" t="s">
        <v>80</v>
      </c>
      <c r="D841" s="397">
        <v>2.2000000000000002</v>
      </c>
      <c r="E841" s="897">
        <f>+E209</f>
        <v>0</v>
      </c>
      <c r="F841" s="899">
        <f t="shared" si="65"/>
        <v>0</v>
      </c>
    </row>
    <row r="842" spans="1:6" hidden="1">
      <c r="A842" s="1286"/>
      <c r="B842" s="1285" t="s">
        <v>160</v>
      </c>
      <c r="C842" s="1278" t="s">
        <v>3</v>
      </c>
      <c r="D842" s="397">
        <f>1*1.2</f>
        <v>1.2</v>
      </c>
      <c r="E842" s="897">
        <f>+E210</f>
        <v>0</v>
      </c>
      <c r="F842" s="899">
        <f t="shared" si="65"/>
        <v>0</v>
      </c>
    </row>
    <row r="843" spans="1:6" hidden="1">
      <c r="A843" s="1286"/>
      <c r="B843" s="810" t="s">
        <v>135</v>
      </c>
      <c r="C843" s="391" t="s">
        <v>4</v>
      </c>
      <c r="D843" s="1173">
        <f>+D842*0.12*1.1</f>
        <v>0.15840000000000001</v>
      </c>
      <c r="E843" s="897">
        <f>+E213</f>
        <v>0</v>
      </c>
      <c r="F843" s="899">
        <f t="shared" si="65"/>
        <v>0</v>
      </c>
    </row>
    <row r="844" spans="1:6" hidden="1">
      <c r="A844" s="1286"/>
      <c r="B844" s="810" t="s">
        <v>83</v>
      </c>
      <c r="C844" s="391" t="s">
        <v>4</v>
      </c>
      <c r="D844" s="1173">
        <f>+D843</f>
        <v>0.15840000000000001</v>
      </c>
      <c r="E844" s="897">
        <f>+E214</f>
        <v>0</v>
      </c>
      <c r="F844" s="899">
        <f t="shared" si="65"/>
        <v>0</v>
      </c>
    </row>
    <row r="845" spans="1:6" ht="30" hidden="1">
      <c r="A845" s="1286"/>
      <c r="B845" s="810" t="s">
        <v>162</v>
      </c>
      <c r="C845" s="657" t="s">
        <v>3</v>
      </c>
      <c r="D845" s="894">
        <v>1.3</v>
      </c>
      <c r="E845" s="863">
        <f>+O148</f>
        <v>0</v>
      </c>
      <c r="F845" s="899">
        <f t="shared" si="65"/>
        <v>0</v>
      </c>
    </row>
    <row r="846" spans="1:6" hidden="1">
      <c r="A846" s="1286"/>
      <c r="B846" s="1171"/>
      <c r="C846" s="657"/>
      <c r="D846" s="894"/>
      <c r="E846" s="863">
        <v>0</v>
      </c>
      <c r="F846" s="899">
        <f t="shared" si="65"/>
        <v>0</v>
      </c>
    </row>
    <row r="847" spans="1:6" hidden="1">
      <c r="A847" s="1286"/>
      <c r="B847" s="1171" t="s">
        <v>84</v>
      </c>
      <c r="C847" s="391" t="s">
        <v>3</v>
      </c>
      <c r="D847" s="1173">
        <v>1.2</v>
      </c>
      <c r="E847" s="897">
        <f>+E218</f>
        <v>0</v>
      </c>
      <c r="F847" s="899">
        <f t="shared" si="65"/>
        <v>0</v>
      </c>
    </row>
    <row r="848" spans="1:6" ht="15.75" hidden="1" thickBot="1">
      <c r="A848" s="1287"/>
      <c r="B848" s="1288" t="s">
        <v>141</v>
      </c>
      <c r="C848" s="808" t="s">
        <v>4</v>
      </c>
      <c r="D848" s="1289">
        <f>1.2*0.12*1.1</f>
        <v>0.15840000000000001</v>
      </c>
      <c r="E848" s="1290">
        <f>+W128</f>
        <v>0</v>
      </c>
      <c r="F848" s="1291">
        <f t="shared" si="65"/>
        <v>0</v>
      </c>
    </row>
    <row r="849" spans="1:7" ht="15.75" hidden="1" thickBot="1">
      <c r="A849" s="1292"/>
      <c r="B849" s="1293"/>
      <c r="C849" s="1294"/>
      <c r="D849" s="1294"/>
      <c r="E849" s="1294"/>
      <c r="F849" s="1295"/>
    </row>
    <row r="850" spans="1:7" ht="16.5" hidden="1" thickBot="1">
      <c r="A850" s="1862" t="s">
        <v>5</v>
      </c>
      <c r="B850" s="1863"/>
      <c r="C850" s="1863"/>
      <c r="D850" s="1863"/>
      <c r="E850" s="1864"/>
      <c r="F850" s="1165">
        <f>ROUND(SUM(F838:F848),0)</f>
        <v>0</v>
      </c>
    </row>
    <row r="851" spans="1:7" hidden="1"/>
    <row r="852" spans="1:7" ht="15.75" hidden="1" thickBot="1"/>
    <row r="853" spans="1:7" ht="16.5" hidden="1" thickBot="1">
      <c r="A853" s="565"/>
      <c r="B853" s="1866" t="s">
        <v>216</v>
      </c>
      <c r="C853" s="1867"/>
      <c r="D853" s="1867"/>
      <c r="E853" s="1868"/>
      <c r="F853" s="386" t="s">
        <v>299</v>
      </c>
      <c r="G853" s="171"/>
    </row>
    <row r="854" spans="1:7" ht="16.5" hidden="1" thickBot="1">
      <c r="A854" s="387" t="s">
        <v>421</v>
      </c>
      <c r="B854" s="388" t="s">
        <v>7</v>
      </c>
      <c r="C854" s="389" t="s">
        <v>0</v>
      </c>
      <c r="D854" s="389" t="s">
        <v>8</v>
      </c>
      <c r="E854" s="389" t="s">
        <v>2</v>
      </c>
      <c r="F854" s="547" t="s">
        <v>9</v>
      </c>
      <c r="G854" s="171"/>
    </row>
    <row r="855" spans="1:7" hidden="1">
      <c r="A855" s="566"/>
      <c r="B855" s="784" t="s">
        <v>79</v>
      </c>
      <c r="C855" s="788" t="s">
        <v>80</v>
      </c>
      <c r="D855" s="789">
        <v>10</v>
      </c>
      <c r="E855" s="901">
        <f>+O65</f>
        <v>0</v>
      </c>
      <c r="F855" s="898">
        <f t="shared" ref="F855:F862" si="66">+ROUND(D855*E855,0)</f>
        <v>0</v>
      </c>
      <c r="G855" s="171"/>
    </row>
    <row r="856" spans="1:7" ht="30" hidden="1">
      <c r="A856" s="563"/>
      <c r="B856" s="768" t="s">
        <v>130</v>
      </c>
      <c r="C856" s="607" t="s">
        <v>80</v>
      </c>
      <c r="D856" s="787">
        <v>5</v>
      </c>
      <c r="E856" s="902">
        <f>+O57</f>
        <v>0</v>
      </c>
      <c r="F856" s="898">
        <f t="shared" si="66"/>
        <v>0</v>
      </c>
      <c r="G856" s="171"/>
    </row>
    <row r="857" spans="1:7" hidden="1">
      <c r="A857" s="563"/>
      <c r="B857" s="774" t="s">
        <v>81</v>
      </c>
      <c r="C857" s="607" t="s">
        <v>62</v>
      </c>
      <c r="D857" s="787">
        <v>0.3</v>
      </c>
      <c r="E857" s="902">
        <f>+O107</f>
        <v>0</v>
      </c>
      <c r="F857" s="898">
        <f t="shared" si="66"/>
        <v>0</v>
      </c>
      <c r="G857" s="171"/>
    </row>
    <row r="858" spans="1:7" hidden="1">
      <c r="A858" s="563"/>
      <c r="B858" s="785" t="s">
        <v>159</v>
      </c>
      <c r="C858" s="607" t="s">
        <v>80</v>
      </c>
      <c r="D858" s="787">
        <v>30</v>
      </c>
      <c r="E858" s="902">
        <f>+O161</f>
        <v>0</v>
      </c>
      <c r="F858" s="898">
        <f t="shared" si="66"/>
        <v>0</v>
      </c>
      <c r="G858" s="171"/>
    </row>
    <row r="859" spans="1:7" ht="16.5" hidden="1" customHeight="1">
      <c r="A859" s="563"/>
      <c r="B859" s="775" t="s">
        <v>30</v>
      </c>
      <c r="C859" s="393" t="s">
        <v>66</v>
      </c>
      <c r="D859" s="567">
        <v>2.5</v>
      </c>
      <c r="E859" s="903"/>
      <c r="F859" s="898">
        <f t="shared" si="66"/>
        <v>0</v>
      </c>
      <c r="G859" s="171"/>
    </row>
    <row r="860" spans="1:7" hidden="1">
      <c r="A860" s="563"/>
      <c r="B860" s="773" t="s">
        <v>133</v>
      </c>
      <c r="C860" s="657" t="s">
        <v>3</v>
      </c>
      <c r="D860" s="786">
        <v>12</v>
      </c>
      <c r="E860" s="902"/>
      <c r="F860" s="898">
        <f t="shared" si="66"/>
        <v>0</v>
      </c>
      <c r="G860" s="171"/>
    </row>
    <row r="861" spans="1:7" hidden="1">
      <c r="A861" s="563"/>
      <c r="B861" s="813" t="s">
        <v>410</v>
      </c>
      <c r="C861" s="812" t="s">
        <v>4</v>
      </c>
      <c r="D861" s="786">
        <v>0.8</v>
      </c>
      <c r="E861" s="904"/>
      <c r="F861" s="898">
        <f t="shared" si="66"/>
        <v>0</v>
      </c>
      <c r="G861" s="171"/>
    </row>
    <row r="862" spans="1:7" ht="15.75" hidden="1" thickBot="1">
      <c r="A862" s="865"/>
      <c r="B862" s="783" t="s">
        <v>142</v>
      </c>
      <c r="C862" s="808" t="s">
        <v>3</v>
      </c>
      <c r="D862" s="866">
        <v>12</v>
      </c>
      <c r="E862" s="905">
        <f>+G475</f>
        <v>0</v>
      </c>
      <c r="F862" s="898">
        <f t="shared" si="66"/>
        <v>0</v>
      </c>
      <c r="G862" s="171"/>
    </row>
    <row r="863" spans="1:7" ht="16.5" hidden="1" thickBot="1">
      <c r="A863" s="1862" t="s">
        <v>5</v>
      </c>
      <c r="B863" s="1863"/>
      <c r="C863" s="1863"/>
      <c r="D863" s="1863"/>
      <c r="E863" s="1864"/>
      <c r="F863" s="906">
        <f>ROUND(SUM(F855:F862),0)</f>
        <v>0</v>
      </c>
      <c r="G863" s="171"/>
    </row>
    <row r="864" spans="1:7" hidden="1">
      <c r="G864" s="171"/>
    </row>
    <row r="865" spans="1:7" ht="15.75" hidden="1" thickBot="1">
      <c r="G865" s="171"/>
    </row>
    <row r="866" spans="1:7" ht="16.5" hidden="1" thickBot="1">
      <c r="A866" s="565"/>
      <c r="B866" s="1918" t="s">
        <v>185</v>
      </c>
      <c r="C866" s="1817"/>
      <c r="D866" s="1817"/>
      <c r="E866" s="1919"/>
      <c r="F866" s="386" t="s">
        <v>408</v>
      </c>
      <c r="G866" s="171"/>
    </row>
    <row r="867" spans="1:7" ht="15.75" hidden="1">
      <c r="A867" s="387" t="s">
        <v>422</v>
      </c>
      <c r="B867" s="388" t="s">
        <v>7</v>
      </c>
      <c r="C867" s="389" t="s">
        <v>0</v>
      </c>
      <c r="D867" s="389" t="s">
        <v>8</v>
      </c>
      <c r="E867" s="389" t="s">
        <v>2</v>
      </c>
      <c r="F867" s="547" t="s">
        <v>9</v>
      </c>
      <c r="G867" s="171"/>
    </row>
    <row r="868" spans="1:7" ht="15.75" hidden="1">
      <c r="A868" s="794"/>
      <c r="B868" s="418" t="s">
        <v>19</v>
      </c>
      <c r="C868" s="796" t="s">
        <v>10</v>
      </c>
      <c r="D868" s="549">
        <v>0.05</v>
      </c>
      <c r="E868" s="907">
        <f>+M237</f>
        <v>0</v>
      </c>
      <c r="F868" s="899">
        <f t="shared" ref="F868:F875" si="67">+ROUND(D868*E868,0)</f>
        <v>0</v>
      </c>
      <c r="G868" s="171"/>
    </row>
    <row r="869" spans="1:7" ht="15.75" hidden="1">
      <c r="A869" s="794"/>
      <c r="B869" s="418" t="s">
        <v>20</v>
      </c>
      <c r="C869" s="796" t="s">
        <v>18</v>
      </c>
      <c r="D869" s="549">
        <v>0.1</v>
      </c>
      <c r="E869" s="907">
        <f>+M238</f>
        <v>0</v>
      </c>
      <c r="F869" s="899">
        <f t="shared" si="67"/>
        <v>0</v>
      </c>
      <c r="G869" s="171"/>
    </row>
    <row r="870" spans="1:7" hidden="1">
      <c r="A870" s="790"/>
      <c r="B870" s="791" t="s">
        <v>403</v>
      </c>
      <c r="C870" s="792" t="s">
        <v>3</v>
      </c>
      <c r="D870" s="793">
        <v>2</v>
      </c>
      <c r="E870" s="908">
        <f>+O140</f>
        <v>0</v>
      </c>
      <c r="F870" s="899">
        <f t="shared" si="67"/>
        <v>0</v>
      </c>
      <c r="G870" s="171"/>
    </row>
    <row r="871" spans="1:7" hidden="1">
      <c r="A871" s="563"/>
      <c r="B871" s="768" t="s">
        <v>405</v>
      </c>
      <c r="C871" s="607" t="s">
        <v>407</v>
      </c>
      <c r="D871" s="787">
        <v>45</v>
      </c>
      <c r="E871" s="863">
        <f>+O183</f>
        <v>0</v>
      </c>
      <c r="F871" s="899">
        <f t="shared" si="67"/>
        <v>0</v>
      </c>
      <c r="G871" s="171"/>
    </row>
    <row r="872" spans="1:7" ht="30" hidden="1">
      <c r="A872" s="563"/>
      <c r="B872" s="774" t="s">
        <v>172</v>
      </c>
      <c r="C872" s="607" t="s">
        <v>4</v>
      </c>
      <c r="D872" s="795">
        <v>0.11</v>
      </c>
      <c r="E872" s="863"/>
      <c r="F872" s="899">
        <f t="shared" si="67"/>
        <v>0</v>
      </c>
      <c r="G872" s="171"/>
    </row>
    <row r="873" spans="1:7" hidden="1">
      <c r="A873" s="563"/>
      <c r="B873" s="785" t="s">
        <v>406</v>
      </c>
      <c r="C873" s="607" t="s">
        <v>3</v>
      </c>
      <c r="D873" s="787">
        <v>0.6</v>
      </c>
      <c r="E873" s="863"/>
      <c r="F873" s="899">
        <f t="shared" si="67"/>
        <v>0</v>
      </c>
      <c r="G873" s="171"/>
    </row>
    <row r="874" spans="1:7" hidden="1">
      <c r="A874" s="563"/>
      <c r="B874" s="775" t="s">
        <v>409</v>
      </c>
      <c r="C874" s="393" t="s">
        <v>66</v>
      </c>
      <c r="D874" s="567">
        <v>0.2</v>
      </c>
      <c r="E874" s="897"/>
      <c r="F874" s="899">
        <f t="shared" si="67"/>
        <v>0</v>
      </c>
      <c r="G874" s="171"/>
    </row>
    <row r="875" spans="1:7" ht="15.75" hidden="1" thickBot="1">
      <c r="A875" s="563"/>
      <c r="B875" s="652" t="s">
        <v>25</v>
      </c>
      <c r="C875" s="797" t="s">
        <v>14</v>
      </c>
      <c r="D875" s="786">
        <v>0.1</v>
      </c>
      <c r="E875" s="863"/>
      <c r="F875" s="899">
        <f t="shared" si="67"/>
        <v>0</v>
      </c>
      <c r="G875" s="171"/>
    </row>
    <row r="876" spans="1:7" ht="15.75" hidden="1" thickBot="1">
      <c r="A876" s="394"/>
      <c r="B876" s="395"/>
      <c r="C876" s="394"/>
      <c r="D876" s="394"/>
      <c r="E876" s="394"/>
      <c r="F876" s="568"/>
      <c r="G876" s="171"/>
    </row>
    <row r="877" spans="1:7" ht="16.5" hidden="1" thickBot="1">
      <c r="A877" s="1862" t="s">
        <v>5</v>
      </c>
      <c r="B877" s="1863"/>
      <c r="C877" s="1863"/>
      <c r="D877" s="1863"/>
      <c r="E877" s="1864"/>
      <c r="F877" s="569">
        <f>ROUND(SUM(F868:F875),0)</f>
        <v>0</v>
      </c>
      <c r="G877" s="171"/>
    </row>
    <row r="878" spans="1:7" hidden="1"/>
    <row r="879" spans="1:7" hidden="1"/>
    <row r="880" spans="1:7" hidden="1"/>
    <row r="881" spans="1:7" hidden="1"/>
    <row r="882" spans="1:7" hidden="1"/>
    <row r="883" spans="1:7" ht="15.75" hidden="1" thickBot="1"/>
    <row r="884" spans="1:7" ht="16.5" hidden="1" thickBot="1">
      <c r="A884" s="565"/>
      <c r="B884" s="1866" t="s">
        <v>298</v>
      </c>
      <c r="C884" s="1867"/>
      <c r="D884" s="1867"/>
      <c r="E884" s="1868"/>
      <c r="F884" s="386" t="s">
        <v>153</v>
      </c>
      <c r="G884" s="171"/>
    </row>
    <row r="885" spans="1:7" ht="15.75" hidden="1" thickBot="1">
      <c r="A885" s="600"/>
      <c r="B885" s="601"/>
      <c r="C885" s="600"/>
      <c r="D885" s="600"/>
      <c r="E885" s="600"/>
      <c r="F885" s="568"/>
      <c r="G885" s="171"/>
    </row>
    <row r="886" spans="1:7" ht="15.75" hidden="1">
      <c r="A886" s="602" t="s">
        <v>423</v>
      </c>
      <c r="B886" s="603" t="s">
        <v>7</v>
      </c>
      <c r="C886" s="604" t="s">
        <v>0</v>
      </c>
      <c r="D886" s="604" t="s">
        <v>8</v>
      </c>
      <c r="E886" s="604" t="s">
        <v>2</v>
      </c>
      <c r="F886" s="605" t="s">
        <v>9</v>
      </c>
      <c r="G886" s="171"/>
    </row>
    <row r="887" spans="1:7" hidden="1">
      <c r="A887" s="548"/>
      <c r="B887" s="768" t="s">
        <v>79</v>
      </c>
      <c r="C887" s="398" t="s">
        <v>80</v>
      </c>
      <c r="D887" s="606">
        <v>10</v>
      </c>
      <c r="E887" s="863">
        <f>+O85</f>
        <v>0</v>
      </c>
      <c r="F887" s="898">
        <f t="shared" ref="F887:F907" si="68">+ROUND(D887*E887,0)</f>
        <v>0</v>
      </c>
      <c r="G887" s="171"/>
    </row>
    <row r="888" spans="1:7" ht="30" hidden="1">
      <c r="A888" s="538"/>
      <c r="B888" s="767" t="s">
        <v>130</v>
      </c>
      <c r="C888" s="398" t="s">
        <v>80</v>
      </c>
      <c r="D888" s="606">
        <v>5</v>
      </c>
      <c r="E888" s="897">
        <f>+O77</f>
        <v>0</v>
      </c>
      <c r="F888" s="898">
        <f t="shared" si="68"/>
        <v>0</v>
      </c>
      <c r="G888" s="171"/>
    </row>
    <row r="889" spans="1:7" hidden="1">
      <c r="A889" s="548"/>
      <c r="B889" s="768" t="s">
        <v>167</v>
      </c>
      <c r="C889" s="398" t="s">
        <v>80</v>
      </c>
      <c r="D889" s="606">
        <v>10</v>
      </c>
      <c r="E889" s="897">
        <f>+O191</f>
        <v>0</v>
      </c>
      <c r="F889" s="898">
        <f t="shared" si="68"/>
        <v>0</v>
      </c>
      <c r="G889" s="171"/>
    </row>
    <row r="890" spans="1:7" hidden="1">
      <c r="A890" s="538"/>
      <c r="B890" s="774" t="s">
        <v>81</v>
      </c>
      <c r="C890" s="607" t="s">
        <v>86</v>
      </c>
      <c r="D890" s="608">
        <v>0.2</v>
      </c>
      <c r="E890" s="897">
        <f>+O107</f>
        <v>0</v>
      </c>
      <c r="F890" s="898">
        <f t="shared" si="68"/>
        <v>0</v>
      </c>
      <c r="G890" s="171"/>
    </row>
    <row r="891" spans="1:7" ht="30" hidden="1">
      <c r="A891" s="548"/>
      <c r="B891" s="748" t="s">
        <v>294</v>
      </c>
      <c r="C891" s="607" t="s">
        <v>80</v>
      </c>
      <c r="D891" s="609">
        <v>2.7</v>
      </c>
      <c r="E891" s="897">
        <f>+O201</f>
        <v>0</v>
      </c>
      <c r="F891" s="898">
        <f t="shared" si="68"/>
        <v>0</v>
      </c>
      <c r="G891" s="171"/>
    </row>
    <row r="892" spans="1:7" hidden="1">
      <c r="A892" s="538"/>
      <c r="B892" s="785" t="s">
        <v>159</v>
      </c>
      <c r="C892" s="607" t="s">
        <v>80</v>
      </c>
      <c r="D892" s="608">
        <f>+(3.6+2.5)*2</f>
        <v>12.2</v>
      </c>
      <c r="E892" s="863">
        <f>+O166</f>
        <v>0</v>
      </c>
      <c r="F892" s="898">
        <f t="shared" si="68"/>
        <v>0</v>
      </c>
      <c r="G892" s="171"/>
    </row>
    <row r="893" spans="1:7" hidden="1">
      <c r="A893" s="548"/>
      <c r="B893" s="768" t="s">
        <v>160</v>
      </c>
      <c r="C893" s="607" t="s">
        <v>3</v>
      </c>
      <c r="D893" s="608">
        <f>3.6*2.5</f>
        <v>9</v>
      </c>
      <c r="E893" s="863">
        <f>+O174</f>
        <v>0</v>
      </c>
      <c r="F893" s="898">
        <f t="shared" si="68"/>
        <v>0</v>
      </c>
      <c r="G893" s="171"/>
    </row>
    <row r="894" spans="1:7" hidden="1">
      <c r="A894" s="538"/>
      <c r="B894" s="768" t="s">
        <v>150</v>
      </c>
      <c r="C894" s="607" t="s">
        <v>4</v>
      </c>
      <c r="D894" s="608">
        <f>3.6*2.5*2.6+1*1*0.85</f>
        <v>24.250000000000004</v>
      </c>
      <c r="E894" s="863">
        <f>+O332</f>
        <v>0</v>
      </c>
      <c r="F894" s="898">
        <f t="shared" si="68"/>
        <v>0</v>
      </c>
      <c r="G894" s="171"/>
    </row>
    <row r="895" spans="1:7" hidden="1">
      <c r="A895" s="548"/>
      <c r="B895" s="773" t="s">
        <v>135</v>
      </c>
      <c r="C895" s="607" t="s">
        <v>4</v>
      </c>
      <c r="D895" s="608">
        <f>+(D893*0.12*1.1)+(D894*1.15)</f>
        <v>29.075500000000002</v>
      </c>
      <c r="E895" s="897">
        <f>+O92</f>
        <v>0</v>
      </c>
      <c r="F895" s="898">
        <f t="shared" si="68"/>
        <v>0</v>
      </c>
      <c r="G895" s="171"/>
    </row>
    <row r="896" spans="1:7" hidden="1">
      <c r="A896" s="538"/>
      <c r="B896" s="773" t="s">
        <v>83</v>
      </c>
      <c r="C896" s="607" t="s">
        <v>4</v>
      </c>
      <c r="D896" s="608">
        <f>+D895</f>
        <v>29.075500000000002</v>
      </c>
      <c r="E896" s="897">
        <f>+O100</f>
        <v>0</v>
      </c>
      <c r="F896" s="898">
        <f t="shared" si="68"/>
        <v>0</v>
      </c>
      <c r="G896" s="171"/>
    </row>
    <row r="897" spans="1:7" hidden="1">
      <c r="A897" s="548"/>
      <c r="B897" s="774" t="s">
        <v>174</v>
      </c>
      <c r="C897" s="607" t="s">
        <v>4</v>
      </c>
      <c r="D897" s="608">
        <f>5*2.9*0.15</f>
        <v>2.1749999999999998</v>
      </c>
      <c r="E897" s="897">
        <f>+O209</f>
        <v>0</v>
      </c>
      <c r="F897" s="898">
        <f t="shared" si="68"/>
        <v>0</v>
      </c>
      <c r="G897" s="171"/>
    </row>
    <row r="898" spans="1:7" ht="30" hidden="1">
      <c r="A898" s="538"/>
      <c r="B898" s="774" t="s">
        <v>172</v>
      </c>
      <c r="C898" s="607" t="s">
        <v>4</v>
      </c>
      <c r="D898" s="606">
        <f>+AA352</f>
        <v>8.3811336324000774</v>
      </c>
      <c r="E898" s="897">
        <f>+O223</f>
        <v>0</v>
      </c>
      <c r="F898" s="898">
        <f t="shared" si="68"/>
        <v>0</v>
      </c>
      <c r="G898" s="171"/>
    </row>
    <row r="899" spans="1:7" ht="30" hidden="1">
      <c r="A899" s="548"/>
      <c r="B899" s="748" t="s">
        <v>402</v>
      </c>
      <c r="C899" s="607" t="s">
        <v>86</v>
      </c>
      <c r="D899" s="608">
        <v>1</v>
      </c>
      <c r="E899" s="897">
        <f>+O229</f>
        <v>0</v>
      </c>
      <c r="F899" s="898">
        <f t="shared" si="68"/>
        <v>0</v>
      </c>
      <c r="G899" s="171"/>
    </row>
    <row r="900" spans="1:7" ht="30" hidden="1">
      <c r="A900" s="538"/>
      <c r="B900" s="774" t="s">
        <v>187</v>
      </c>
      <c r="C900" s="607" t="s">
        <v>3</v>
      </c>
      <c r="D900" s="608">
        <f>1.3*0.8+1.33*0.6</f>
        <v>1.8380000000000001</v>
      </c>
      <c r="E900" s="863">
        <f>+O157</f>
        <v>0</v>
      </c>
      <c r="F900" s="898">
        <f t="shared" si="68"/>
        <v>0</v>
      </c>
      <c r="G900" s="171"/>
    </row>
    <row r="901" spans="1:7" hidden="1">
      <c r="A901" s="548"/>
      <c r="B901" s="748" t="s">
        <v>184</v>
      </c>
      <c r="C901" s="607" t="s">
        <v>86</v>
      </c>
      <c r="D901" s="608">
        <v>2</v>
      </c>
      <c r="E901" s="897">
        <f>+O241</f>
        <v>0</v>
      </c>
      <c r="F901" s="898">
        <f t="shared" si="68"/>
        <v>0</v>
      </c>
      <c r="G901" s="171"/>
    </row>
    <row r="902" spans="1:7" hidden="1">
      <c r="A902" s="538"/>
      <c r="B902" s="768" t="s">
        <v>251</v>
      </c>
      <c r="C902" s="607" t="s">
        <v>63</v>
      </c>
      <c r="D902" s="608">
        <f>+AC375</f>
        <v>739.1848</v>
      </c>
      <c r="E902" s="897">
        <f>+O183</f>
        <v>0</v>
      </c>
      <c r="F902" s="898">
        <f t="shared" si="68"/>
        <v>0</v>
      </c>
      <c r="G902" s="171"/>
    </row>
    <row r="903" spans="1:7" hidden="1">
      <c r="A903" s="548"/>
      <c r="B903" s="768" t="s">
        <v>164</v>
      </c>
      <c r="C903" s="607" t="s">
        <v>86</v>
      </c>
      <c r="D903" s="608">
        <v>7</v>
      </c>
      <c r="E903" s="897">
        <f>+O342</f>
        <v>0</v>
      </c>
      <c r="F903" s="898">
        <f t="shared" si="68"/>
        <v>0</v>
      </c>
      <c r="G903" s="171"/>
    </row>
    <row r="904" spans="1:7" ht="30" hidden="1">
      <c r="A904" s="538"/>
      <c r="B904" s="768" t="s">
        <v>295</v>
      </c>
      <c r="C904" s="607" t="s">
        <v>3</v>
      </c>
      <c r="D904" s="608">
        <v>23</v>
      </c>
      <c r="E904" s="897">
        <f>+O357</f>
        <v>0</v>
      </c>
      <c r="F904" s="898">
        <f t="shared" si="68"/>
        <v>0</v>
      </c>
      <c r="G904" s="171"/>
    </row>
    <row r="905" spans="1:7" ht="45" hidden="1">
      <c r="A905" s="548"/>
      <c r="B905" s="748" t="s">
        <v>188</v>
      </c>
      <c r="C905" s="607" t="s">
        <v>3</v>
      </c>
      <c r="D905" s="608">
        <f>2.5*4</f>
        <v>10</v>
      </c>
      <c r="E905" s="897"/>
      <c r="F905" s="898">
        <f t="shared" si="68"/>
        <v>0</v>
      </c>
      <c r="G905" s="171"/>
    </row>
    <row r="906" spans="1:7" ht="30" hidden="1">
      <c r="A906" s="538"/>
      <c r="B906" s="799" t="s">
        <v>190</v>
      </c>
      <c r="C906" s="398" t="s">
        <v>62</v>
      </c>
      <c r="D906" s="609">
        <v>4</v>
      </c>
      <c r="E906" s="897">
        <f>+O278</f>
        <v>0</v>
      </c>
      <c r="F906" s="898">
        <f t="shared" si="68"/>
        <v>0</v>
      </c>
      <c r="G906" s="171"/>
    </row>
    <row r="907" spans="1:7" ht="45.75" hidden="1" thickBot="1">
      <c r="A907" s="553"/>
      <c r="B907" s="800" t="s">
        <v>192</v>
      </c>
      <c r="C907" s="400" t="s">
        <v>86</v>
      </c>
      <c r="D907" s="610">
        <v>1</v>
      </c>
      <c r="E907" s="900">
        <f>+O289</f>
        <v>0</v>
      </c>
      <c r="F907" s="898">
        <f t="shared" si="68"/>
        <v>0</v>
      </c>
      <c r="G907" s="171"/>
    </row>
    <row r="908" spans="1:7" ht="15.75" hidden="1" thickBot="1">
      <c r="A908" s="611"/>
      <c r="B908" s="612"/>
      <c r="C908" s="613"/>
      <c r="D908" s="613"/>
      <c r="E908" s="614"/>
      <c r="F908" s="615"/>
      <c r="G908" s="171"/>
    </row>
    <row r="909" spans="1:7" ht="16.5" hidden="1" customHeight="1" thickBot="1">
      <c r="A909" s="1862" t="s">
        <v>5</v>
      </c>
      <c r="B909" s="1863"/>
      <c r="C909" s="1863"/>
      <c r="D909" s="1863"/>
      <c r="E909" s="1864"/>
      <c r="F909" s="616">
        <f>ROUND(SUM(F887:F908),0)</f>
        <v>0</v>
      </c>
      <c r="G909" s="171"/>
    </row>
    <row r="910" spans="1:7" hidden="1">
      <c r="G910" s="171"/>
    </row>
    <row r="911" spans="1:7" hidden="1">
      <c r="G911" s="171"/>
    </row>
    <row r="912" spans="1:7" ht="15.75" hidden="1" thickBot="1">
      <c r="G912" s="171"/>
    </row>
    <row r="913" spans="1:7" ht="16.5" hidden="1" thickBot="1">
      <c r="A913" s="679"/>
      <c r="B913" s="1855" t="s">
        <v>415</v>
      </c>
      <c r="C913" s="1855"/>
      <c r="D913" s="1855"/>
      <c r="E913" s="1856"/>
      <c r="F913" s="562" t="s">
        <v>214</v>
      </c>
      <c r="G913" s="171"/>
    </row>
    <row r="914" spans="1:7" ht="15.75" hidden="1">
      <c r="A914" s="602" t="s">
        <v>425</v>
      </c>
      <c r="B914" s="603" t="s">
        <v>7</v>
      </c>
      <c r="C914" s="604" t="s">
        <v>0</v>
      </c>
      <c r="D914" s="604" t="s">
        <v>8</v>
      </c>
      <c r="E914" s="680" t="s">
        <v>2</v>
      </c>
      <c r="F914" s="605" t="s">
        <v>9</v>
      </c>
      <c r="G914" s="171"/>
    </row>
    <row r="915" spans="1:7" hidden="1">
      <c r="A915" s="548"/>
      <c r="B915" s="768" t="s">
        <v>79</v>
      </c>
      <c r="C915" s="398" t="s">
        <v>80</v>
      </c>
      <c r="D915" s="399">
        <v>4</v>
      </c>
      <c r="E915" s="897">
        <f>+E524</f>
        <v>0</v>
      </c>
      <c r="F915" s="898">
        <f>+ROUND(E915*D915,0)</f>
        <v>0</v>
      </c>
      <c r="G915" s="910"/>
    </row>
    <row r="916" spans="1:7" ht="30" hidden="1">
      <c r="A916" s="681"/>
      <c r="B916" s="767" t="s">
        <v>130</v>
      </c>
      <c r="C916" s="682" t="s">
        <v>80</v>
      </c>
      <c r="D916" s="683">
        <v>1</v>
      </c>
      <c r="E916" s="897">
        <f>+E525</f>
        <v>0</v>
      </c>
      <c r="F916" s="898">
        <f t="shared" ref="F916:F929" si="69">+ROUND(E916*D916,0)</f>
        <v>0</v>
      </c>
      <c r="G916" s="910"/>
    </row>
    <row r="917" spans="1:7" hidden="1">
      <c r="A917" s="681"/>
      <c r="B917" s="768" t="s">
        <v>150</v>
      </c>
      <c r="C917" s="398" t="s">
        <v>4</v>
      </c>
      <c r="D917" s="399">
        <f>+D528</f>
        <v>1.3915000000000002</v>
      </c>
      <c r="E917" s="897">
        <f>+E528</f>
        <v>0</v>
      </c>
      <c r="F917" s="898">
        <f t="shared" si="69"/>
        <v>0</v>
      </c>
      <c r="G917" s="910"/>
    </row>
    <row r="918" spans="1:7" hidden="1">
      <c r="A918" s="548"/>
      <c r="B918" s="768" t="s">
        <v>135</v>
      </c>
      <c r="C918" s="398" t="s">
        <v>4</v>
      </c>
      <c r="D918" s="399">
        <f>+D529</f>
        <v>1.6698000000000002</v>
      </c>
      <c r="E918" s="897"/>
      <c r="F918" s="898">
        <f t="shared" si="69"/>
        <v>0</v>
      </c>
      <c r="G918" s="910"/>
    </row>
    <row r="919" spans="1:7" hidden="1">
      <c r="A919" s="548"/>
      <c r="B919" s="768" t="s">
        <v>83</v>
      </c>
      <c r="C919" s="398" t="s">
        <v>4</v>
      </c>
      <c r="D919" s="399">
        <f>+D918</f>
        <v>1.6698000000000002</v>
      </c>
      <c r="E919" s="897"/>
      <c r="F919" s="898">
        <f t="shared" si="69"/>
        <v>0</v>
      </c>
      <c r="G919" s="910"/>
    </row>
    <row r="920" spans="1:7" hidden="1">
      <c r="A920" s="681"/>
      <c r="B920" s="768" t="s">
        <v>161</v>
      </c>
      <c r="C920" s="398" t="s">
        <v>4</v>
      </c>
      <c r="D920" s="399">
        <f>+D531</f>
        <v>0.12800000000000003</v>
      </c>
      <c r="E920" s="897"/>
      <c r="F920" s="898">
        <f t="shared" si="69"/>
        <v>0</v>
      </c>
      <c r="G920" s="910"/>
    </row>
    <row r="921" spans="1:7" hidden="1">
      <c r="A921" s="548"/>
      <c r="B921" s="768" t="s">
        <v>84</v>
      </c>
      <c r="C921" s="398" t="s">
        <v>3</v>
      </c>
      <c r="D921" s="399">
        <f>1*0.8*4+1</f>
        <v>4.2</v>
      </c>
      <c r="E921" s="897"/>
      <c r="F921" s="898">
        <f t="shared" si="69"/>
        <v>0</v>
      </c>
      <c r="G921" s="910"/>
    </row>
    <row r="922" spans="1:7" hidden="1">
      <c r="A922" s="548"/>
      <c r="B922" s="767" t="s">
        <v>251</v>
      </c>
      <c r="C922" s="398" t="s">
        <v>63</v>
      </c>
      <c r="D922" s="399">
        <f>+D533</f>
        <v>12</v>
      </c>
      <c r="E922" s="897"/>
      <c r="F922" s="898">
        <f t="shared" si="69"/>
        <v>0</v>
      </c>
      <c r="G922" s="910"/>
    </row>
    <row r="923" spans="1:7" hidden="1">
      <c r="A923" s="681"/>
      <c r="B923" s="768" t="s">
        <v>141</v>
      </c>
      <c r="C923" s="398" t="s">
        <v>4</v>
      </c>
      <c r="D923" s="399">
        <f>+D534</f>
        <v>0.42429203673205107</v>
      </c>
      <c r="E923" s="897"/>
      <c r="F923" s="898">
        <f t="shared" si="69"/>
        <v>0</v>
      </c>
      <c r="G923" s="910"/>
    </row>
    <row r="924" spans="1:7" ht="30" hidden="1">
      <c r="A924" s="548"/>
      <c r="B924" s="767" t="s">
        <v>162</v>
      </c>
      <c r="C924" s="391" t="s">
        <v>3</v>
      </c>
      <c r="D924" s="392">
        <f>1*2+0.8*2</f>
        <v>3.6</v>
      </c>
      <c r="E924" s="897"/>
      <c r="F924" s="898">
        <f t="shared" si="69"/>
        <v>0</v>
      </c>
      <c r="G924" s="910"/>
    </row>
    <row r="925" spans="1:7" hidden="1">
      <c r="A925" s="548"/>
      <c r="B925" s="801" t="s">
        <v>165</v>
      </c>
      <c r="C925" s="685" t="s">
        <v>62</v>
      </c>
      <c r="D925" s="686">
        <v>1</v>
      </c>
      <c r="E925" s="897"/>
      <c r="F925" s="898">
        <f t="shared" si="69"/>
        <v>0</v>
      </c>
      <c r="G925" s="910"/>
    </row>
    <row r="926" spans="1:7" hidden="1">
      <c r="A926" s="860"/>
      <c r="B926" s="783" t="s">
        <v>164</v>
      </c>
      <c r="C926" s="861" t="s">
        <v>86</v>
      </c>
      <c r="D926" s="896">
        <v>2</v>
      </c>
      <c r="E926" s="909"/>
      <c r="F926" s="898">
        <f t="shared" si="69"/>
        <v>0</v>
      </c>
      <c r="G926" s="910"/>
    </row>
    <row r="927" spans="1:7" hidden="1">
      <c r="A927" s="548"/>
      <c r="B927" s="773" t="s">
        <v>133</v>
      </c>
      <c r="C927" s="657" t="s">
        <v>3</v>
      </c>
      <c r="D927" s="786">
        <f>1.4*1.4</f>
        <v>1.9599999999999997</v>
      </c>
      <c r="E927" s="897">
        <f>+E860</f>
        <v>0</v>
      </c>
      <c r="F927" s="898">
        <f t="shared" si="69"/>
        <v>0</v>
      </c>
      <c r="G927" s="910"/>
    </row>
    <row r="928" spans="1:7" hidden="1">
      <c r="A928" s="548"/>
      <c r="B928" s="813" t="s">
        <v>410</v>
      </c>
      <c r="C928" s="812" t="s">
        <v>4</v>
      </c>
      <c r="D928" s="786">
        <v>0.15</v>
      </c>
      <c r="E928" s="897">
        <f>+E861</f>
        <v>0</v>
      </c>
      <c r="F928" s="898">
        <f t="shared" si="69"/>
        <v>0</v>
      </c>
      <c r="G928" s="910"/>
    </row>
    <row r="929" spans="1:7" hidden="1">
      <c r="A929" s="548"/>
      <c r="B929" s="768" t="s">
        <v>142</v>
      </c>
      <c r="C929" s="657" t="s">
        <v>3</v>
      </c>
      <c r="D929" s="786">
        <v>1.2</v>
      </c>
      <c r="E929" s="863">
        <f>+E862</f>
        <v>0</v>
      </c>
      <c r="F929" s="898">
        <f t="shared" si="69"/>
        <v>0</v>
      </c>
      <c r="G929" s="910"/>
    </row>
    <row r="930" spans="1:7" ht="16.5" hidden="1" thickBot="1">
      <c r="A930" s="1869" t="s">
        <v>5</v>
      </c>
      <c r="B930" s="1870"/>
      <c r="C930" s="1870"/>
      <c r="D930" s="1870"/>
      <c r="E930" s="1871"/>
      <c r="F930" s="862">
        <f>ROUND(SUM(F915:F929),0)</f>
        <v>0</v>
      </c>
      <c r="G930" s="171"/>
    </row>
    <row r="931" spans="1:7" ht="15.75" hidden="1">
      <c r="A931" s="817"/>
      <c r="B931" s="817"/>
      <c r="C931" s="817"/>
      <c r="D931" s="817"/>
      <c r="E931" s="817"/>
      <c r="F931" s="117"/>
      <c r="G931" s="171"/>
    </row>
    <row r="932" spans="1:7" ht="15.75" hidden="1" thickBot="1">
      <c r="G932" s="171"/>
    </row>
    <row r="933" spans="1:7" ht="16.5" hidden="1" thickBot="1">
      <c r="A933" s="730"/>
      <c r="B933" s="1811" t="s">
        <v>432</v>
      </c>
      <c r="C933" s="1812"/>
      <c r="D933" s="1812"/>
      <c r="E933" s="1812"/>
      <c r="F933" s="731"/>
      <c r="G933" s="171"/>
    </row>
    <row r="934" spans="1:7" ht="15.75" hidden="1">
      <c r="A934" s="387" t="s">
        <v>426</v>
      </c>
      <c r="B934" s="388" t="s">
        <v>7</v>
      </c>
      <c r="C934" s="389" t="s">
        <v>0</v>
      </c>
      <c r="D934" s="656" t="s">
        <v>8</v>
      </c>
      <c r="E934" s="389" t="s">
        <v>2</v>
      </c>
      <c r="F934" s="547" t="s">
        <v>9</v>
      </c>
      <c r="G934" s="171"/>
    </row>
    <row r="935" spans="1:7" hidden="1">
      <c r="A935" s="390"/>
      <c r="B935" s="768" t="s">
        <v>159</v>
      </c>
      <c r="C935" s="657" t="s">
        <v>80</v>
      </c>
      <c r="D935" s="894">
        <f>2*2</f>
        <v>4</v>
      </c>
      <c r="E935" s="897">
        <f>+O166</f>
        <v>0</v>
      </c>
      <c r="F935" s="898">
        <f>+ROUND(E935*D935,0)</f>
        <v>0</v>
      </c>
      <c r="G935" s="889"/>
    </row>
    <row r="936" spans="1:7" hidden="1">
      <c r="A936" s="390"/>
      <c r="B936" s="768" t="s">
        <v>160</v>
      </c>
      <c r="C936" s="607" t="s">
        <v>3</v>
      </c>
      <c r="D936" s="894">
        <f>0.15*2</f>
        <v>0.3</v>
      </c>
      <c r="E936" s="897">
        <f>+O174</f>
        <v>0</v>
      </c>
      <c r="F936" s="898">
        <f t="shared" ref="F936:F944" si="70">+ROUND(E936*D936,0)</f>
        <v>0</v>
      </c>
      <c r="G936" s="889"/>
    </row>
    <row r="937" spans="1:7" hidden="1">
      <c r="A937" s="390"/>
      <c r="B937" s="768" t="s">
        <v>150</v>
      </c>
      <c r="C937" s="398" t="s">
        <v>40</v>
      </c>
      <c r="D937" s="684">
        <f>2*0.3*0.15</f>
        <v>0.09</v>
      </c>
      <c r="E937" s="863">
        <f>+E967</f>
        <v>0</v>
      </c>
      <c r="F937" s="898">
        <f t="shared" si="70"/>
        <v>0</v>
      </c>
      <c r="G937" s="889"/>
    </row>
    <row r="938" spans="1:7" hidden="1">
      <c r="A938" s="390"/>
      <c r="B938" s="768" t="s">
        <v>135</v>
      </c>
      <c r="C938" s="398" t="s">
        <v>40</v>
      </c>
      <c r="D938" s="684">
        <f>D936*0.12</f>
        <v>3.5999999999999997E-2</v>
      </c>
      <c r="E938" s="863">
        <f>+E968</f>
        <v>0</v>
      </c>
      <c r="F938" s="898">
        <f t="shared" si="70"/>
        <v>0</v>
      </c>
      <c r="G938" s="889"/>
    </row>
    <row r="939" spans="1:7" ht="15.75" hidden="1" customHeight="1">
      <c r="A939" s="390"/>
      <c r="B939" s="768" t="s">
        <v>83</v>
      </c>
      <c r="C939" s="398" t="s">
        <v>40</v>
      </c>
      <c r="D939" s="684">
        <f>+D938</f>
        <v>3.5999999999999997E-2</v>
      </c>
      <c r="E939" s="863">
        <f>+E969</f>
        <v>0</v>
      </c>
      <c r="F939" s="898">
        <f t="shared" si="70"/>
        <v>0</v>
      </c>
      <c r="G939" s="889"/>
    </row>
    <row r="940" spans="1:7" hidden="1">
      <c r="A940" s="390"/>
      <c r="B940" s="768" t="s">
        <v>177</v>
      </c>
      <c r="C940" s="396" t="s">
        <v>40</v>
      </c>
      <c r="D940" s="684">
        <f>2*0.3*0.15</f>
        <v>0.09</v>
      </c>
      <c r="E940" s="863"/>
      <c r="F940" s="898">
        <f t="shared" si="70"/>
        <v>0</v>
      </c>
      <c r="G940" s="889"/>
    </row>
    <row r="941" spans="1:7" hidden="1">
      <c r="A941" s="390"/>
      <c r="B941" s="768" t="s">
        <v>161</v>
      </c>
      <c r="C941" s="398" t="s">
        <v>40</v>
      </c>
      <c r="D941" s="684">
        <f>+D936*0.1</f>
        <v>0.03</v>
      </c>
      <c r="E941" s="863"/>
      <c r="F941" s="898">
        <f t="shared" si="70"/>
        <v>0</v>
      </c>
      <c r="G941" s="889"/>
    </row>
    <row r="942" spans="1:7" ht="30" hidden="1">
      <c r="A942" s="390"/>
      <c r="B942" s="768" t="s">
        <v>414</v>
      </c>
      <c r="C942" s="398" t="s">
        <v>22</v>
      </c>
      <c r="D942" s="684">
        <f>2*0.15</f>
        <v>0.3</v>
      </c>
      <c r="E942" s="863"/>
      <c r="F942" s="898">
        <f t="shared" si="70"/>
        <v>0</v>
      </c>
      <c r="G942" s="889"/>
    </row>
    <row r="943" spans="1:7" hidden="1">
      <c r="A943" s="390"/>
      <c r="B943" s="768" t="s">
        <v>193</v>
      </c>
      <c r="C943" s="398" t="s">
        <v>31</v>
      </c>
      <c r="D943" s="684">
        <v>2</v>
      </c>
      <c r="E943" s="863"/>
      <c r="F943" s="898">
        <f t="shared" si="70"/>
        <v>0</v>
      </c>
      <c r="G943" s="889"/>
    </row>
    <row r="944" spans="1:7" hidden="1">
      <c r="A944" s="396"/>
      <c r="B944" s="583" t="s">
        <v>140</v>
      </c>
      <c r="C944" s="396" t="s">
        <v>43</v>
      </c>
      <c r="D944" s="397">
        <v>1</v>
      </c>
      <c r="E944" s="897"/>
      <c r="F944" s="898">
        <f t="shared" si="70"/>
        <v>0</v>
      </c>
      <c r="G944" s="171"/>
    </row>
    <row r="945" spans="1:7" hidden="1">
      <c r="A945" s="809"/>
      <c r="B945" s="810"/>
      <c r="C945" s="809"/>
      <c r="D945" s="888"/>
      <c r="E945" s="809"/>
      <c r="F945" s="811"/>
      <c r="G945" s="171"/>
    </row>
    <row r="946" spans="1:7" ht="16.5" hidden="1" thickBot="1">
      <c r="A946" s="814" t="s">
        <v>5</v>
      </c>
      <c r="B946" s="815"/>
      <c r="C946" s="815"/>
      <c r="D946" s="815"/>
      <c r="E946" s="816"/>
      <c r="F946" s="911">
        <f>ROUND(SUM(F935:F944),0)</f>
        <v>0</v>
      </c>
      <c r="G946" s="171"/>
    </row>
    <row r="947" spans="1:7" ht="16.5" hidden="1" thickBot="1">
      <c r="A947" s="856"/>
      <c r="B947" s="856"/>
      <c r="C947" s="856"/>
      <c r="D947" s="856"/>
      <c r="E947" s="856"/>
      <c r="F947" s="916"/>
      <c r="G947" s="171"/>
    </row>
    <row r="948" spans="1:7" ht="16.5" hidden="1" thickBot="1">
      <c r="A948" s="818"/>
      <c r="B948" s="1811" t="s">
        <v>439</v>
      </c>
      <c r="C948" s="1812"/>
      <c r="D948" s="1812"/>
      <c r="E948" s="1812"/>
      <c r="F948" s="731"/>
      <c r="G948" s="171"/>
    </row>
    <row r="949" spans="1:7" ht="15.75" hidden="1">
      <c r="A949" s="387" t="s">
        <v>427</v>
      </c>
      <c r="B949" s="388" t="s">
        <v>7</v>
      </c>
      <c r="C949" s="389" t="s">
        <v>0</v>
      </c>
      <c r="D949" s="656" t="s">
        <v>8</v>
      </c>
      <c r="E949" s="389" t="s">
        <v>2</v>
      </c>
      <c r="F949" s="547" t="s">
        <v>9</v>
      </c>
      <c r="G949" s="171"/>
    </row>
    <row r="950" spans="1:7" hidden="1">
      <c r="A950" s="390"/>
      <c r="B950" s="768" t="s">
        <v>159</v>
      </c>
      <c r="C950" s="657" t="s">
        <v>31</v>
      </c>
      <c r="D950" s="894">
        <v>4</v>
      </c>
      <c r="E950" s="897">
        <f>+E965</f>
        <v>0</v>
      </c>
      <c r="F950" s="898">
        <f>+ROUND(E950*D950,0)</f>
        <v>0</v>
      </c>
      <c r="G950" s="171"/>
    </row>
    <row r="951" spans="1:7" hidden="1">
      <c r="A951" s="390"/>
      <c r="B951" s="768" t="s">
        <v>160</v>
      </c>
      <c r="C951" s="607" t="s">
        <v>3</v>
      </c>
      <c r="D951" s="894">
        <f>2*0.15</f>
        <v>0.3</v>
      </c>
      <c r="E951" s="897">
        <f>+E966</f>
        <v>0</v>
      </c>
      <c r="F951" s="898">
        <f t="shared" ref="F951:F959" si="71">+ROUND(E951*D951,0)</f>
        <v>0</v>
      </c>
      <c r="G951" s="171"/>
    </row>
    <row r="952" spans="1:7" hidden="1">
      <c r="A952" s="390"/>
      <c r="B952" s="768" t="s">
        <v>150</v>
      </c>
      <c r="C952" s="398" t="s">
        <v>40</v>
      </c>
      <c r="D952" s="684">
        <f>2*0.15*0.3</f>
        <v>0.09</v>
      </c>
      <c r="E952" s="863">
        <f>+E967</f>
        <v>0</v>
      </c>
      <c r="F952" s="898">
        <f t="shared" si="71"/>
        <v>0</v>
      </c>
      <c r="G952" s="171"/>
    </row>
    <row r="953" spans="1:7" hidden="1">
      <c r="A953" s="390"/>
      <c r="B953" s="768" t="s">
        <v>135</v>
      </c>
      <c r="C953" s="398" t="s">
        <v>40</v>
      </c>
      <c r="D953" s="684">
        <f>D951*0.12+(2*0.1*0.15)</f>
        <v>6.6000000000000003E-2</v>
      </c>
      <c r="E953" s="863">
        <f>+E968</f>
        <v>0</v>
      </c>
      <c r="F953" s="898">
        <f t="shared" si="71"/>
        <v>0</v>
      </c>
      <c r="G953" s="171"/>
    </row>
    <row r="954" spans="1:7" hidden="1">
      <c r="A954" s="390"/>
      <c r="B954" s="768" t="s">
        <v>83</v>
      </c>
      <c r="C954" s="398" t="s">
        <v>40</v>
      </c>
      <c r="D954" s="684">
        <f>+D953</f>
        <v>6.6000000000000003E-2</v>
      </c>
      <c r="E954" s="863">
        <f>+E969</f>
        <v>0</v>
      </c>
      <c r="F954" s="898">
        <f t="shared" si="71"/>
        <v>0</v>
      </c>
      <c r="G954" s="171"/>
    </row>
    <row r="955" spans="1:7" hidden="1">
      <c r="A955" s="390"/>
      <c r="B955" s="768" t="s">
        <v>177</v>
      </c>
      <c r="C955" s="396" t="s">
        <v>40</v>
      </c>
      <c r="D955" s="684">
        <f>0.15*0.1*2</f>
        <v>0.03</v>
      </c>
      <c r="E955" s="863"/>
      <c r="F955" s="898">
        <f t="shared" si="71"/>
        <v>0</v>
      </c>
      <c r="G955" s="171"/>
    </row>
    <row r="956" spans="1:7" hidden="1">
      <c r="A956" s="390"/>
      <c r="B956" s="768" t="s">
        <v>161</v>
      </c>
      <c r="C956" s="398" t="s">
        <v>40</v>
      </c>
      <c r="D956" s="684">
        <f>+D951*0.1</f>
        <v>0.03</v>
      </c>
      <c r="E956" s="863">
        <f>+E971</f>
        <v>0</v>
      </c>
      <c r="F956" s="898">
        <f t="shared" si="71"/>
        <v>0</v>
      </c>
      <c r="G956" s="171"/>
    </row>
    <row r="957" spans="1:7" ht="30" hidden="1">
      <c r="A957" s="390"/>
      <c r="B957" s="768" t="s">
        <v>414</v>
      </c>
      <c r="C957" s="398" t="s">
        <v>22</v>
      </c>
      <c r="D957" s="684">
        <f>+D951</f>
        <v>0.3</v>
      </c>
      <c r="E957" s="863"/>
      <c r="F957" s="898">
        <f t="shared" si="71"/>
        <v>0</v>
      </c>
      <c r="G957" s="171"/>
    </row>
    <row r="958" spans="1:7" hidden="1">
      <c r="A958" s="886"/>
      <c r="B958" s="801" t="s">
        <v>433</v>
      </c>
      <c r="C958" s="887" t="s">
        <v>31</v>
      </c>
      <c r="D958" s="895">
        <v>2</v>
      </c>
      <c r="E958" s="909"/>
      <c r="F958" s="898">
        <f t="shared" si="71"/>
        <v>0</v>
      </c>
      <c r="G958" s="171"/>
    </row>
    <row r="959" spans="1:7" hidden="1">
      <c r="A959" s="396"/>
      <c r="B959" s="583" t="s">
        <v>140</v>
      </c>
      <c r="C959" s="396" t="s">
        <v>43</v>
      </c>
      <c r="D959" s="397">
        <v>1</v>
      </c>
      <c r="E959" s="897"/>
      <c r="F959" s="898">
        <f t="shared" si="71"/>
        <v>0</v>
      </c>
      <c r="G959" s="171"/>
    </row>
    <row r="960" spans="1:7" hidden="1">
      <c r="A960" s="809"/>
      <c r="B960" s="810"/>
      <c r="C960" s="809"/>
      <c r="D960" s="888"/>
      <c r="E960" s="809"/>
      <c r="F960" s="811"/>
      <c r="G960" s="171"/>
    </row>
    <row r="961" spans="1:7" ht="16.5" hidden="1" thickBot="1">
      <c r="A961" s="857" t="s">
        <v>5</v>
      </c>
      <c r="B961" s="858"/>
      <c r="C961" s="858"/>
      <c r="D961" s="858"/>
      <c r="E961" s="859"/>
      <c r="F961" s="911">
        <f>ROUND(SUM(F950:F959),0)</f>
        <v>0</v>
      </c>
      <c r="G961" s="171"/>
    </row>
    <row r="962" spans="1:7" ht="15.75" hidden="1" thickBot="1">
      <c r="A962" s="728"/>
      <c r="B962" s="729"/>
      <c r="C962" s="728"/>
      <c r="D962" s="743"/>
      <c r="E962" s="728"/>
      <c r="F962" s="58"/>
      <c r="G962" s="171"/>
    </row>
    <row r="963" spans="1:7" ht="16.5" hidden="1" thickBot="1">
      <c r="A963" s="730"/>
      <c r="B963" s="1816" t="s">
        <v>436</v>
      </c>
      <c r="C963" s="1817"/>
      <c r="D963" s="1817"/>
      <c r="E963" s="1817"/>
      <c r="F963" s="731"/>
      <c r="G963" s="171"/>
    </row>
    <row r="964" spans="1:7" ht="15.75" hidden="1">
      <c r="A964" s="387" t="s">
        <v>428</v>
      </c>
      <c r="B964" s="388" t="s">
        <v>7</v>
      </c>
      <c r="C964" s="389" t="s">
        <v>0</v>
      </c>
      <c r="D964" s="656" t="s">
        <v>8</v>
      </c>
      <c r="E964" s="389" t="s">
        <v>2</v>
      </c>
      <c r="F964" s="547" t="s">
        <v>9</v>
      </c>
      <c r="G964" s="171"/>
    </row>
    <row r="965" spans="1:7" hidden="1">
      <c r="A965" s="390"/>
      <c r="B965" s="768" t="s">
        <v>159</v>
      </c>
      <c r="C965" s="657" t="s">
        <v>31</v>
      </c>
      <c r="D965" s="894">
        <v>5</v>
      </c>
      <c r="E965" s="897">
        <f>+O166</f>
        <v>0</v>
      </c>
      <c r="F965" s="898">
        <f>+ROUND(E965*D965,0)</f>
        <v>0</v>
      </c>
      <c r="G965" s="889"/>
    </row>
    <row r="966" spans="1:7" hidden="1">
      <c r="A966" s="390"/>
      <c r="B966" s="768" t="s">
        <v>160</v>
      </c>
      <c r="C966" s="607" t="s">
        <v>3</v>
      </c>
      <c r="D966" s="894">
        <f>5*0.15</f>
        <v>0.75</v>
      </c>
      <c r="E966" s="897">
        <f>+O174</f>
        <v>0</v>
      </c>
      <c r="F966" s="898">
        <f t="shared" ref="F966:F974" si="72">+ROUND(E966*D966,0)</f>
        <v>0</v>
      </c>
      <c r="G966" s="889"/>
    </row>
    <row r="967" spans="1:7" hidden="1">
      <c r="A967" s="390"/>
      <c r="B967" s="768" t="s">
        <v>150</v>
      </c>
      <c r="C967" s="398" t="s">
        <v>40</v>
      </c>
      <c r="D967" s="684">
        <f>5*0.15*0.3</f>
        <v>0.22499999999999998</v>
      </c>
      <c r="E967" s="863">
        <f>+E530</f>
        <v>0</v>
      </c>
      <c r="F967" s="898">
        <f t="shared" si="72"/>
        <v>0</v>
      </c>
      <c r="G967" s="889"/>
    </row>
    <row r="968" spans="1:7" hidden="1">
      <c r="A968" s="390"/>
      <c r="B968" s="768" t="s">
        <v>135</v>
      </c>
      <c r="C968" s="398" t="s">
        <v>40</v>
      </c>
      <c r="D968" s="684">
        <f>D966*0.12+(5*0.1*0.15)</f>
        <v>0.16499999999999998</v>
      </c>
      <c r="E968" s="863">
        <f>+E531</f>
        <v>0</v>
      </c>
      <c r="F968" s="898">
        <f t="shared" si="72"/>
        <v>0</v>
      </c>
      <c r="G968" s="889"/>
    </row>
    <row r="969" spans="1:7" hidden="1">
      <c r="A969" s="390"/>
      <c r="B969" s="768" t="s">
        <v>83</v>
      </c>
      <c r="C969" s="398" t="s">
        <v>40</v>
      </c>
      <c r="D969" s="684">
        <f>+D968</f>
        <v>0.16499999999999998</v>
      </c>
      <c r="E969" s="863">
        <f>+E532</f>
        <v>0</v>
      </c>
      <c r="F969" s="898">
        <f t="shared" si="72"/>
        <v>0</v>
      </c>
      <c r="G969" s="889"/>
    </row>
    <row r="970" spans="1:7" hidden="1">
      <c r="A970" s="390"/>
      <c r="B970" s="768" t="s">
        <v>177</v>
      </c>
      <c r="C970" s="396" t="s">
        <v>40</v>
      </c>
      <c r="D970" s="684">
        <f>0.15*0.1*5</f>
        <v>7.4999999999999997E-2</v>
      </c>
      <c r="E970" s="863"/>
      <c r="F970" s="898">
        <f t="shared" si="72"/>
        <v>0</v>
      </c>
      <c r="G970" s="889"/>
    </row>
    <row r="971" spans="1:7" hidden="1">
      <c r="A971" s="390"/>
      <c r="B971" s="768" t="s">
        <v>161</v>
      </c>
      <c r="C971" s="398" t="s">
        <v>40</v>
      </c>
      <c r="D971" s="684">
        <f>+D966*0.1</f>
        <v>7.5000000000000011E-2</v>
      </c>
      <c r="E971" s="863"/>
      <c r="F971" s="898">
        <f t="shared" si="72"/>
        <v>0</v>
      </c>
      <c r="G971" s="889"/>
    </row>
    <row r="972" spans="1:7" ht="30" hidden="1">
      <c r="A972" s="390"/>
      <c r="B972" s="768" t="s">
        <v>414</v>
      </c>
      <c r="C972" s="398" t="s">
        <v>22</v>
      </c>
      <c r="D972" s="684">
        <f>+D966</f>
        <v>0.75</v>
      </c>
      <c r="E972" s="863"/>
      <c r="F972" s="898">
        <f t="shared" si="72"/>
        <v>0</v>
      </c>
      <c r="G972" s="889"/>
    </row>
    <row r="973" spans="1:7" hidden="1">
      <c r="A973" s="886"/>
      <c r="B973" s="801" t="s">
        <v>433</v>
      </c>
      <c r="C973" s="887" t="s">
        <v>31</v>
      </c>
      <c r="D973" s="895">
        <v>5</v>
      </c>
      <c r="E973" s="909"/>
      <c r="F973" s="898">
        <f t="shared" si="72"/>
        <v>0</v>
      </c>
      <c r="G973" s="889"/>
    </row>
    <row r="974" spans="1:7" hidden="1">
      <c r="A974" s="396"/>
      <c r="B974" s="583" t="s">
        <v>140</v>
      </c>
      <c r="C974" s="396" t="s">
        <v>43</v>
      </c>
      <c r="D974" s="397">
        <v>1</v>
      </c>
      <c r="E974" s="897"/>
      <c r="F974" s="898">
        <f t="shared" si="72"/>
        <v>0</v>
      </c>
      <c r="G974" s="889"/>
    </row>
    <row r="975" spans="1:7" hidden="1">
      <c r="A975" s="809"/>
      <c r="B975" s="810"/>
      <c r="C975" s="809"/>
      <c r="D975" s="888"/>
      <c r="E975" s="809"/>
      <c r="F975" s="811"/>
      <c r="G975" s="171"/>
    </row>
    <row r="976" spans="1:7" ht="16.5" hidden="1" thickBot="1">
      <c r="A976" s="814" t="s">
        <v>5</v>
      </c>
      <c r="B976" s="815"/>
      <c r="C976" s="815"/>
      <c r="D976" s="815"/>
      <c r="E976" s="816"/>
      <c r="F976" s="911">
        <f>ROUND(SUM(F965:F974),0)</f>
        <v>0</v>
      </c>
      <c r="G976" s="171"/>
    </row>
    <row r="977" spans="1:7" ht="16.5" hidden="1" thickBot="1">
      <c r="A977" s="882"/>
      <c r="B977" s="883"/>
      <c r="C977" s="883"/>
      <c r="D977" s="883"/>
      <c r="E977" s="883"/>
      <c r="F977" s="884"/>
      <c r="G977" s="171"/>
    </row>
    <row r="978" spans="1:7" ht="16.5" hidden="1" thickBot="1">
      <c r="A978" s="818"/>
      <c r="B978" s="1811" t="s">
        <v>437</v>
      </c>
      <c r="C978" s="1812"/>
      <c r="D978" s="1812"/>
      <c r="E978" s="1812"/>
      <c r="F978" s="731"/>
      <c r="G978" s="171"/>
    </row>
    <row r="979" spans="1:7" ht="15.75" hidden="1">
      <c r="A979" s="387" t="s">
        <v>429</v>
      </c>
      <c r="B979" s="388" t="s">
        <v>7</v>
      </c>
      <c r="C979" s="389" t="s">
        <v>0</v>
      </c>
      <c r="D979" s="656" t="s">
        <v>8</v>
      </c>
      <c r="E979" s="389" t="s">
        <v>2</v>
      </c>
      <c r="F979" s="547" t="s">
        <v>9</v>
      </c>
      <c r="G979" s="171"/>
    </row>
    <row r="980" spans="1:7" hidden="1">
      <c r="A980" s="390"/>
      <c r="B980" s="768" t="s">
        <v>159</v>
      </c>
      <c r="C980" s="657" t="s">
        <v>80</v>
      </c>
      <c r="D980" s="894">
        <v>5</v>
      </c>
      <c r="E980" s="897">
        <f>+E965</f>
        <v>0</v>
      </c>
      <c r="F980" s="898">
        <f>+ROUND(E980*D980,0)</f>
        <v>0</v>
      </c>
      <c r="G980" s="171"/>
    </row>
    <row r="981" spans="1:7" hidden="1">
      <c r="A981" s="390"/>
      <c r="B981" s="768" t="s">
        <v>160</v>
      </c>
      <c r="C981" s="607" t="s">
        <v>3</v>
      </c>
      <c r="D981" s="894">
        <f>5*0.15</f>
        <v>0.75</v>
      </c>
      <c r="E981" s="897">
        <f>+E966</f>
        <v>0</v>
      </c>
      <c r="F981" s="898">
        <f t="shared" ref="F981:F989" si="73">+ROUND(E981*D981,0)</f>
        <v>0</v>
      </c>
      <c r="G981" s="171"/>
    </row>
    <row r="982" spans="1:7" hidden="1">
      <c r="A982" s="390"/>
      <c r="B982" s="768" t="s">
        <v>150</v>
      </c>
      <c r="C982" s="398" t="s">
        <v>40</v>
      </c>
      <c r="D982" s="684">
        <f>5*0.15*0.3</f>
        <v>0.22499999999999998</v>
      </c>
      <c r="E982" s="863">
        <f>+E967</f>
        <v>0</v>
      </c>
      <c r="F982" s="898">
        <f t="shared" si="73"/>
        <v>0</v>
      </c>
      <c r="G982" s="171"/>
    </row>
    <row r="983" spans="1:7" hidden="1">
      <c r="A983" s="390"/>
      <c r="B983" s="768" t="s">
        <v>135</v>
      </c>
      <c r="C983" s="398" t="s">
        <v>40</v>
      </c>
      <c r="D983" s="684">
        <f>D981*0.12+(5*0.1*0.15)</f>
        <v>0.16499999999999998</v>
      </c>
      <c r="E983" s="863">
        <f>+E968</f>
        <v>0</v>
      </c>
      <c r="F983" s="898">
        <f t="shared" si="73"/>
        <v>0</v>
      </c>
      <c r="G983" s="171"/>
    </row>
    <row r="984" spans="1:7" hidden="1">
      <c r="A984" s="390"/>
      <c r="B984" s="768" t="s">
        <v>83</v>
      </c>
      <c r="C984" s="398" t="s">
        <v>40</v>
      </c>
      <c r="D984" s="684">
        <f>+D983</f>
        <v>0.16499999999999998</v>
      </c>
      <c r="E984" s="863">
        <f>+E969</f>
        <v>0</v>
      </c>
      <c r="F984" s="898">
        <f t="shared" si="73"/>
        <v>0</v>
      </c>
      <c r="G984" s="171"/>
    </row>
    <row r="985" spans="1:7" hidden="1">
      <c r="A985" s="390"/>
      <c r="B985" s="768" t="s">
        <v>177</v>
      </c>
      <c r="C985" s="396" t="s">
        <v>40</v>
      </c>
      <c r="D985" s="684">
        <f>0.15*0.1*5</f>
        <v>7.4999999999999997E-2</v>
      </c>
      <c r="E985" s="863"/>
      <c r="F985" s="898">
        <f t="shared" si="73"/>
        <v>0</v>
      </c>
      <c r="G985" s="171"/>
    </row>
    <row r="986" spans="1:7" hidden="1">
      <c r="A986" s="390"/>
      <c r="B986" s="768" t="s">
        <v>161</v>
      </c>
      <c r="C986" s="398" t="s">
        <v>40</v>
      </c>
      <c r="D986" s="684">
        <f>+D981*0.1</f>
        <v>7.5000000000000011E-2</v>
      </c>
      <c r="E986" s="863"/>
      <c r="F986" s="898">
        <f t="shared" si="73"/>
        <v>0</v>
      </c>
      <c r="G986" s="171"/>
    </row>
    <row r="987" spans="1:7" ht="30" hidden="1">
      <c r="A987" s="390"/>
      <c r="B987" s="768" t="s">
        <v>414</v>
      </c>
      <c r="C987" s="398" t="s">
        <v>22</v>
      </c>
      <c r="D987" s="684">
        <f>+D981</f>
        <v>0.75</v>
      </c>
      <c r="E987" s="863"/>
      <c r="F987" s="898">
        <f t="shared" si="73"/>
        <v>0</v>
      </c>
      <c r="G987" s="171"/>
    </row>
    <row r="988" spans="1:7" hidden="1">
      <c r="A988" s="396"/>
      <c r="B988" s="767" t="s">
        <v>434</v>
      </c>
      <c r="C988" s="396" t="s">
        <v>80</v>
      </c>
      <c r="D988" s="397">
        <v>5</v>
      </c>
      <c r="E988" s="897"/>
      <c r="F988" s="898">
        <f t="shared" si="73"/>
        <v>0</v>
      </c>
      <c r="G988" s="171"/>
    </row>
    <row r="989" spans="1:7" hidden="1">
      <c r="A989" s="396"/>
      <c r="B989" s="583" t="s">
        <v>140</v>
      </c>
      <c r="C989" s="396" t="s">
        <v>0</v>
      </c>
      <c r="D989" s="397">
        <v>1</v>
      </c>
      <c r="E989" s="897"/>
      <c r="F989" s="898">
        <f t="shared" si="73"/>
        <v>0</v>
      </c>
      <c r="G989" s="171"/>
    </row>
    <row r="990" spans="1:7" hidden="1">
      <c r="A990" s="809"/>
      <c r="B990" s="810"/>
      <c r="C990" s="809"/>
      <c r="D990" s="888"/>
      <c r="E990" s="809"/>
      <c r="F990" s="811"/>
      <c r="G990" s="171"/>
    </row>
    <row r="991" spans="1:7" ht="16.5" hidden="1" thickBot="1">
      <c r="A991" s="814" t="s">
        <v>5</v>
      </c>
      <c r="B991" s="815"/>
      <c r="C991" s="815"/>
      <c r="D991" s="815"/>
      <c r="E991" s="816"/>
      <c r="F991" s="911">
        <f>ROUND(SUM(F980:F989),0)</f>
        <v>0</v>
      </c>
      <c r="G991" s="171"/>
    </row>
    <row r="992" spans="1:7" ht="15.75" hidden="1" thickBot="1">
      <c r="G992" s="171"/>
    </row>
    <row r="993" spans="1:7" ht="15.75" hidden="1">
      <c r="A993" s="593"/>
      <c r="B993" s="1914" t="s">
        <v>431</v>
      </c>
      <c r="C993" s="1915"/>
      <c r="D993" s="1915"/>
      <c r="E993" s="1916"/>
      <c r="F993" s="678" t="s">
        <v>215</v>
      </c>
      <c r="G993" s="171"/>
    </row>
    <row r="994" spans="1:7" ht="15.75" hidden="1">
      <c r="A994" s="673" t="s">
        <v>430</v>
      </c>
      <c r="B994" s="675" t="s">
        <v>7</v>
      </c>
      <c r="C994" s="676" t="s">
        <v>0</v>
      </c>
      <c r="D994" s="676" t="s">
        <v>8</v>
      </c>
      <c r="E994" s="676" t="s">
        <v>2</v>
      </c>
      <c r="F994" s="677" t="s">
        <v>9</v>
      </c>
      <c r="G994" s="171"/>
    </row>
    <row r="995" spans="1:7" ht="15.75" hidden="1">
      <c r="A995" s="673"/>
      <c r="B995" s="867" t="s">
        <v>159</v>
      </c>
      <c r="C995" s="812" t="s">
        <v>31</v>
      </c>
      <c r="D995" s="892">
        <v>12</v>
      </c>
      <c r="E995" s="912">
        <f>+O166</f>
        <v>0</v>
      </c>
      <c r="F995" s="913">
        <f>+ROUND(E995*D995,0)</f>
        <v>0</v>
      </c>
      <c r="G995" s="171"/>
    </row>
    <row r="996" spans="1:7" ht="15.75" hidden="1">
      <c r="A996" s="673"/>
      <c r="B996" s="867" t="s">
        <v>160</v>
      </c>
      <c r="C996" s="812" t="s">
        <v>22</v>
      </c>
      <c r="D996" s="892">
        <f>6*0.5</f>
        <v>3</v>
      </c>
      <c r="E996" s="912">
        <f>+O174</f>
        <v>0</v>
      </c>
      <c r="F996" s="913">
        <f t="shared" ref="F996:F1005" si="74">+ROUND(E996*D996,0)</f>
        <v>0</v>
      </c>
      <c r="G996" s="171"/>
    </row>
    <row r="997" spans="1:7" ht="15.75" hidden="1">
      <c r="A997" s="673"/>
      <c r="B997" s="768" t="s">
        <v>150</v>
      </c>
      <c r="C997" s="398" t="s">
        <v>40</v>
      </c>
      <c r="D997" s="399">
        <f>6*0.5*0.5</f>
        <v>1.5</v>
      </c>
      <c r="E997" s="863">
        <f>+E917</f>
        <v>0</v>
      </c>
      <c r="F997" s="913">
        <f t="shared" si="74"/>
        <v>0</v>
      </c>
      <c r="G997" s="171"/>
    </row>
    <row r="998" spans="1:7" ht="15.75" hidden="1">
      <c r="A998" s="673"/>
      <c r="B998" s="768" t="s">
        <v>135</v>
      </c>
      <c r="C998" s="398" t="s">
        <v>40</v>
      </c>
      <c r="D998" s="399">
        <f>D996*0.12+(6*0.1*0.5)</f>
        <v>0.66</v>
      </c>
      <c r="E998" s="863">
        <f>+E918</f>
        <v>0</v>
      </c>
      <c r="F998" s="913">
        <f t="shared" si="74"/>
        <v>0</v>
      </c>
      <c r="G998" s="171"/>
    </row>
    <row r="999" spans="1:7" ht="15.75" hidden="1">
      <c r="A999" s="673"/>
      <c r="B999" s="768" t="s">
        <v>83</v>
      </c>
      <c r="C999" s="398" t="s">
        <v>40</v>
      </c>
      <c r="D999" s="399">
        <f>+D998</f>
        <v>0.66</v>
      </c>
      <c r="E999" s="863">
        <f>+E919</f>
        <v>0</v>
      </c>
      <c r="F999" s="913">
        <f t="shared" si="74"/>
        <v>0</v>
      </c>
      <c r="G999" s="171"/>
    </row>
    <row r="1000" spans="1:7" ht="15.75" hidden="1">
      <c r="A1000" s="673"/>
      <c r="B1000" s="768" t="s">
        <v>177</v>
      </c>
      <c r="C1000" s="396" t="s">
        <v>40</v>
      </c>
      <c r="D1000" s="684">
        <f>0.5*0.3*6</f>
        <v>0.89999999999999991</v>
      </c>
      <c r="E1000" s="863"/>
      <c r="F1000" s="913">
        <f t="shared" si="74"/>
        <v>0</v>
      </c>
      <c r="G1000" s="171"/>
    </row>
    <row r="1001" spans="1:7" ht="15.75" hidden="1">
      <c r="A1001" s="673"/>
      <c r="B1001" s="768" t="s">
        <v>161</v>
      </c>
      <c r="C1001" s="398" t="s">
        <v>40</v>
      </c>
      <c r="D1001" s="399">
        <f>+D996*0.1</f>
        <v>0.30000000000000004</v>
      </c>
      <c r="E1001" s="863"/>
      <c r="F1001" s="913">
        <f t="shared" si="74"/>
        <v>0</v>
      </c>
      <c r="G1001" s="171"/>
    </row>
    <row r="1002" spans="1:7" ht="30" hidden="1">
      <c r="A1002" s="673"/>
      <c r="B1002" s="768" t="s">
        <v>414</v>
      </c>
      <c r="C1002" s="398" t="s">
        <v>22</v>
      </c>
      <c r="D1002" s="684">
        <f>+D996</f>
        <v>3</v>
      </c>
      <c r="E1002" s="863"/>
      <c r="F1002" s="913">
        <f t="shared" si="74"/>
        <v>0</v>
      </c>
      <c r="G1002" s="171"/>
    </row>
    <row r="1003" spans="1:7" ht="15.75" hidden="1">
      <c r="A1003" s="868"/>
      <c r="B1003" s="874" t="s">
        <v>166</v>
      </c>
      <c r="C1003" s="872" t="s">
        <v>43</v>
      </c>
      <c r="D1003" s="893">
        <v>2</v>
      </c>
      <c r="E1003" s="914"/>
      <c r="F1003" s="913">
        <f t="shared" si="74"/>
        <v>0</v>
      </c>
      <c r="G1003" s="171"/>
    </row>
    <row r="1004" spans="1:7" ht="15.75" hidden="1">
      <c r="A1004" s="676"/>
      <c r="B1004" s="867" t="s">
        <v>82</v>
      </c>
      <c r="C1004" s="873" t="s">
        <v>43</v>
      </c>
      <c r="D1004" s="893">
        <v>12</v>
      </c>
      <c r="E1004" s="912"/>
      <c r="F1004" s="913">
        <f t="shared" si="74"/>
        <v>0</v>
      </c>
      <c r="G1004" s="171"/>
    </row>
    <row r="1005" spans="1:7" hidden="1">
      <c r="A1005" s="594"/>
      <c r="B1005" s="551" t="s">
        <v>140</v>
      </c>
      <c r="C1005" s="396" t="s">
        <v>0</v>
      </c>
      <c r="D1005" s="397">
        <v>2</v>
      </c>
      <c r="E1005" s="897"/>
      <c r="F1005" s="913">
        <f t="shared" si="74"/>
        <v>0</v>
      </c>
      <c r="G1005" s="171"/>
    </row>
    <row r="1006" spans="1:7" ht="16.5" hidden="1" thickBot="1">
      <c r="A1006" s="869" t="s">
        <v>5</v>
      </c>
      <c r="B1006" s="870"/>
      <c r="C1006" s="870"/>
      <c r="D1006" s="870"/>
      <c r="E1006" s="870"/>
      <c r="F1006" s="915">
        <f>ROUND(SUM(F995:F1005),0)</f>
        <v>0</v>
      </c>
      <c r="G1006" s="171"/>
    </row>
    <row r="1007" spans="1:7" hidden="1">
      <c r="G1007" s="171"/>
    </row>
    <row r="1008" spans="1:7">
      <c r="G1008" s="171"/>
    </row>
    <row r="1009" spans="7:7">
      <c r="G1009" s="171"/>
    </row>
    <row r="1010" spans="7:7">
      <c r="G1010" s="171"/>
    </row>
    <row r="1011" spans="7:7">
      <c r="G1011" s="171"/>
    </row>
    <row r="1012" spans="7:7">
      <c r="G1012" s="171"/>
    </row>
    <row r="1013" spans="7:7">
      <c r="G1013" s="171"/>
    </row>
    <row r="1014" spans="7:7">
      <c r="G1014" s="171"/>
    </row>
    <row r="1015" spans="7:7">
      <c r="G1015" s="171"/>
    </row>
    <row r="1016" spans="7:7">
      <c r="G1016" s="171"/>
    </row>
    <row r="1017" spans="7:7">
      <c r="G1017" s="171"/>
    </row>
    <row r="1018" spans="7:7">
      <c r="G1018" s="171"/>
    </row>
    <row r="1019" spans="7:7">
      <c r="G1019" s="171"/>
    </row>
    <row r="1020" spans="7:7">
      <c r="G1020" s="171"/>
    </row>
    <row r="1021" spans="7:7">
      <c r="G1021" s="171"/>
    </row>
    <row r="1022" spans="7:7">
      <c r="G1022" s="171"/>
    </row>
    <row r="1023" spans="7:7">
      <c r="G1023" s="171"/>
    </row>
    <row r="1024" spans="7:7">
      <c r="G1024" s="171"/>
    </row>
    <row r="1025" spans="7:7">
      <c r="G1025" s="171"/>
    </row>
    <row r="1026" spans="7:7">
      <c r="G1026" s="171"/>
    </row>
    <row r="1027" spans="7:7">
      <c r="G1027" s="171"/>
    </row>
    <row r="1028" spans="7:7">
      <c r="G1028" s="171"/>
    </row>
    <row r="1029" spans="7:7">
      <c r="G1029" s="171"/>
    </row>
    <row r="1030" spans="7:7">
      <c r="G1030" s="171"/>
    </row>
    <row r="1031" spans="7:7">
      <c r="G1031" s="171"/>
    </row>
    <row r="1032" spans="7:7">
      <c r="G1032" s="171"/>
    </row>
    <row r="1033" spans="7:7">
      <c r="G1033" s="171"/>
    </row>
    <row r="1034" spans="7:7">
      <c r="G1034" s="171"/>
    </row>
    <row r="1035" spans="7:7">
      <c r="G1035" s="171"/>
    </row>
    <row r="1036" spans="7:7">
      <c r="G1036" s="171"/>
    </row>
    <row r="1037" spans="7:7">
      <c r="G1037" s="171"/>
    </row>
    <row r="1038" spans="7:7">
      <c r="G1038" s="171"/>
    </row>
    <row r="1039" spans="7:7">
      <c r="G1039" s="171"/>
    </row>
    <row r="1040" spans="7:7">
      <c r="G1040" s="171"/>
    </row>
    <row r="1041" spans="7:7">
      <c r="G1041" s="171"/>
    </row>
    <row r="1042" spans="7:7">
      <c r="G1042" s="171"/>
    </row>
    <row r="1043" spans="7:7">
      <c r="G1043" s="171"/>
    </row>
    <row r="1044" spans="7:7">
      <c r="G1044" s="171"/>
    </row>
    <row r="1045" spans="7:7">
      <c r="G1045" s="171"/>
    </row>
    <row r="1046" spans="7:7">
      <c r="G1046" s="171"/>
    </row>
    <row r="1047" spans="7:7">
      <c r="G1047" s="171"/>
    </row>
    <row r="1048" spans="7:7">
      <c r="G1048" s="171"/>
    </row>
    <row r="1049" spans="7:7">
      <c r="G1049" s="171"/>
    </row>
    <row r="1050" spans="7:7">
      <c r="G1050" s="171"/>
    </row>
    <row r="1051" spans="7:7">
      <c r="G1051" s="171"/>
    </row>
    <row r="1052" spans="7:7">
      <c r="G1052" s="171"/>
    </row>
    <row r="1053" spans="7:7">
      <c r="G1053" s="171"/>
    </row>
    <row r="1054" spans="7:7">
      <c r="G1054" s="171"/>
    </row>
    <row r="1055" spans="7:7">
      <c r="G1055" s="171"/>
    </row>
    <row r="1056" spans="7:7">
      <c r="G1056" s="171"/>
    </row>
    <row r="1057" spans="1:7">
      <c r="G1057" s="171"/>
    </row>
    <row r="1058" spans="1:7">
      <c r="G1058" s="171"/>
    </row>
    <row r="1059" spans="1:7">
      <c r="G1059" s="171"/>
    </row>
    <row r="1060" spans="1:7">
      <c r="G1060" s="171"/>
    </row>
    <row r="1061" spans="1:7">
      <c r="G1061" s="171"/>
    </row>
    <row r="1062" spans="1:7">
      <c r="G1062" s="171"/>
    </row>
    <row r="1063" spans="1:7">
      <c r="G1063" s="171"/>
    </row>
    <row r="1064" spans="1:7">
      <c r="G1064" s="171"/>
    </row>
    <row r="1065" spans="1:7">
      <c r="G1065" s="171"/>
    </row>
    <row r="1066" spans="1:7">
      <c r="G1066" s="171"/>
    </row>
    <row r="1067" spans="1:7">
      <c r="A1067" s="57"/>
      <c r="B1067" s="131"/>
      <c r="C1067" s="57"/>
      <c r="D1067" s="57"/>
      <c r="E1067" s="126"/>
      <c r="F1067" s="58"/>
      <c r="G1067" s="171"/>
    </row>
    <row r="1068" spans="1:7">
      <c r="A1068" s="50"/>
      <c r="B1068" s="49"/>
      <c r="C1068" s="50"/>
      <c r="D1068" s="98"/>
      <c r="E1068" s="132"/>
      <c r="F1068" s="86"/>
      <c r="G1068" s="171"/>
    </row>
    <row r="1069" spans="1:7">
      <c r="G1069" s="171"/>
    </row>
    <row r="1070" spans="1:7">
      <c r="G1070" s="171"/>
    </row>
    <row r="1071" spans="1:7">
      <c r="G1071" s="171"/>
    </row>
    <row r="1072" spans="1:7">
      <c r="G1072" s="171"/>
    </row>
    <row r="1073" spans="7:7">
      <c r="G1073" s="171"/>
    </row>
    <row r="1074" spans="7:7">
      <c r="G1074" s="171"/>
    </row>
    <row r="1075" spans="7:7">
      <c r="G1075" s="171"/>
    </row>
    <row r="1076" spans="7:7">
      <c r="G1076" s="171"/>
    </row>
    <row r="1077" spans="7:7">
      <c r="G1077" s="171"/>
    </row>
    <row r="1078" spans="7:7">
      <c r="G1078" s="171"/>
    </row>
    <row r="1079" spans="7:7">
      <c r="G1079" s="171"/>
    </row>
    <row r="1080" spans="7:7">
      <c r="G1080" s="171"/>
    </row>
    <row r="1081" spans="7:7">
      <c r="G1081" s="171"/>
    </row>
    <row r="1082" spans="7:7">
      <c r="G1082" s="171"/>
    </row>
    <row r="1083" spans="7:7">
      <c r="G1083" s="171"/>
    </row>
    <row r="1084" spans="7:7">
      <c r="G1084" s="171"/>
    </row>
    <row r="1085" spans="7:7">
      <c r="G1085" s="171"/>
    </row>
    <row r="1086" spans="7:7">
      <c r="G1086" s="171"/>
    </row>
    <row r="1087" spans="7:7">
      <c r="G1087" s="171"/>
    </row>
    <row r="1088" spans="7:7">
      <c r="G1088" s="171"/>
    </row>
    <row r="1089" spans="1:7">
      <c r="G1089" s="171"/>
    </row>
    <row r="1090" spans="1:7">
      <c r="G1090" s="171"/>
    </row>
    <row r="1091" spans="1:7">
      <c r="G1091" s="171"/>
    </row>
    <row r="1092" spans="1:7">
      <c r="A1092" s="692"/>
      <c r="B1092" s="693"/>
      <c r="C1092" s="383"/>
      <c r="D1092" s="702"/>
      <c r="E1092" s="703"/>
      <c r="F1092" s="138"/>
      <c r="G1092" s="171"/>
    </row>
    <row r="1093" spans="1:7" ht="15.75">
      <c r="A1093" s="1865"/>
      <c r="B1093" s="1865"/>
      <c r="C1093" s="1865"/>
      <c r="D1093" s="1865"/>
      <c r="E1093" s="1865"/>
      <c r="F1093" s="117"/>
    </row>
    <row r="1094" spans="1:7">
      <c r="A1094" s="692"/>
      <c r="B1094" s="688"/>
      <c r="C1094" s="383"/>
      <c r="D1094" s="702"/>
      <c r="E1094" s="99"/>
      <c r="F1094" s="138"/>
    </row>
    <row r="1095" spans="1:7">
      <c r="A1095" s="383"/>
      <c r="B1095" s="688"/>
      <c r="C1095" s="383"/>
      <c r="D1095" s="702"/>
      <c r="E1095" s="99"/>
      <c r="F1095" s="138"/>
    </row>
    <row r="1096" spans="1:7">
      <c r="A1096" s="383"/>
      <c r="B1096" s="693"/>
      <c r="C1096" s="383"/>
      <c r="D1096" s="383"/>
      <c r="E1096" s="99"/>
      <c r="F1096" s="138"/>
    </row>
    <row r="1097" spans="1:7">
      <c r="A1097" s="692"/>
      <c r="B1097" s="693"/>
      <c r="C1097" s="383"/>
      <c r="D1097" s="702"/>
      <c r="E1097" s="99"/>
      <c r="F1097" s="138"/>
    </row>
    <row r="1098" spans="1:7">
      <c r="A1098" s="120"/>
      <c r="B1098" s="120"/>
      <c r="C1098" s="120"/>
      <c r="D1098" s="120"/>
      <c r="E1098" s="120"/>
      <c r="F1098" s="120"/>
    </row>
    <row r="1099" spans="1:7" ht="15.75">
      <c r="A1099" s="704"/>
      <c r="B1099" s="1917"/>
      <c r="C1099" s="1917"/>
      <c r="D1099" s="1917"/>
      <c r="E1099" s="1917"/>
      <c r="F1099" s="705"/>
    </row>
    <row r="1100" spans="1:7">
      <c r="A1100" s="706"/>
      <c r="B1100" s="696"/>
      <c r="C1100" s="706"/>
      <c r="D1100" s="706"/>
      <c r="E1100" s="706"/>
      <c r="F1100" s="86"/>
    </row>
    <row r="1101" spans="1:7" ht="15.75">
      <c r="A1101" s="559"/>
      <c r="B1101" s="695"/>
      <c r="C1101" s="559"/>
      <c r="D1101" s="559"/>
      <c r="E1101" s="559"/>
      <c r="F1101" s="687"/>
    </row>
    <row r="1102" spans="1:7">
      <c r="A1102" s="383"/>
      <c r="B1102" s="688"/>
      <c r="C1102" s="383"/>
      <c r="D1102" s="691"/>
      <c r="E1102" s="99"/>
      <c r="F1102" s="138"/>
    </row>
    <row r="1103" spans="1:7">
      <c r="A1103" s="692"/>
      <c r="B1103" s="688"/>
      <c r="C1103" s="383"/>
      <c r="D1103" s="691"/>
      <c r="E1103" s="99"/>
      <c r="F1103" s="138"/>
    </row>
    <row r="1104" spans="1:7">
      <c r="A1104" s="383"/>
      <c r="B1104" s="688"/>
      <c r="C1104" s="383"/>
      <c r="D1104" s="691"/>
      <c r="E1104" s="99"/>
      <c r="F1104" s="138"/>
    </row>
    <row r="1105" spans="1:6">
      <c r="A1105" s="692"/>
      <c r="B1105" s="689"/>
      <c r="C1105" s="690"/>
      <c r="D1105" s="694"/>
      <c r="E1105" s="99"/>
      <c r="F1105" s="138"/>
    </row>
    <row r="1106" spans="1:6">
      <c r="A1106" s="383"/>
      <c r="B1106" s="707"/>
      <c r="C1106" s="690"/>
      <c r="D1106" s="708"/>
      <c r="E1106" s="99"/>
      <c r="F1106" s="138"/>
    </row>
    <row r="1107" spans="1:6">
      <c r="A1107" s="692"/>
      <c r="B1107" s="697"/>
      <c r="C1107" s="690"/>
      <c r="D1107" s="694"/>
      <c r="E1107" s="99"/>
      <c r="F1107" s="138"/>
    </row>
    <row r="1108" spans="1:6">
      <c r="A1108" s="383"/>
      <c r="B1108" s="693"/>
      <c r="C1108" s="690"/>
      <c r="D1108" s="694"/>
      <c r="E1108" s="99"/>
      <c r="F1108" s="138"/>
    </row>
    <row r="1109" spans="1:6">
      <c r="A1109" s="692"/>
      <c r="B1109" s="693"/>
      <c r="C1109" s="690"/>
      <c r="D1109" s="694"/>
      <c r="E1109" s="99"/>
      <c r="F1109" s="138"/>
    </row>
    <row r="1110" spans="1:6">
      <c r="A1110" s="383"/>
      <c r="B1110" s="709"/>
      <c r="C1110" s="690"/>
      <c r="D1110" s="694"/>
      <c r="E1110" s="99"/>
      <c r="F1110" s="138"/>
    </row>
    <row r="1111" spans="1:6">
      <c r="A1111" s="692"/>
      <c r="B1111" s="709"/>
      <c r="C1111" s="690"/>
      <c r="D1111" s="694"/>
      <c r="E1111" s="99"/>
      <c r="F1111" s="138"/>
    </row>
    <row r="1112" spans="1:6">
      <c r="A1112" s="383"/>
      <c r="B1112" s="689"/>
      <c r="C1112" s="690"/>
      <c r="D1112" s="694"/>
      <c r="E1112" s="99"/>
      <c r="F1112" s="138"/>
    </row>
    <row r="1113" spans="1:6">
      <c r="A1113" s="692"/>
      <c r="B1113" s="689"/>
      <c r="C1113" s="690"/>
      <c r="D1113" s="691"/>
      <c r="E1113" s="99"/>
      <c r="F1113" s="138"/>
    </row>
    <row r="1114" spans="1:6">
      <c r="A1114" s="383"/>
      <c r="B1114" s="707"/>
      <c r="C1114" s="690"/>
      <c r="D1114" s="694"/>
      <c r="E1114" s="99"/>
      <c r="F1114" s="138"/>
    </row>
    <row r="1115" spans="1:6">
      <c r="A1115" s="692"/>
      <c r="B1115" s="689"/>
      <c r="C1115" s="690"/>
      <c r="D1115" s="694"/>
      <c r="E1115" s="99"/>
      <c r="F1115" s="138"/>
    </row>
    <row r="1116" spans="1:6">
      <c r="A1116" s="383"/>
      <c r="B1116" s="707"/>
      <c r="C1116" s="690"/>
      <c r="D1116" s="694"/>
      <c r="E1116" s="99"/>
      <c r="F1116" s="138"/>
    </row>
    <row r="1117" spans="1:6">
      <c r="A1117" s="692"/>
      <c r="B1117" s="693"/>
      <c r="C1117" s="690"/>
      <c r="D1117" s="694"/>
      <c r="E1117" s="99"/>
      <c r="F1117" s="138"/>
    </row>
    <row r="1118" spans="1:6">
      <c r="A1118" s="383"/>
      <c r="B1118" s="693"/>
      <c r="C1118" s="690"/>
      <c r="D1118" s="694"/>
      <c r="E1118" s="99"/>
      <c r="F1118" s="138"/>
    </row>
    <row r="1119" spans="1:6">
      <c r="A1119" s="692"/>
      <c r="B1119" s="693"/>
      <c r="C1119" s="690"/>
      <c r="D1119" s="694"/>
      <c r="E1119" s="99"/>
      <c r="F1119" s="138"/>
    </row>
    <row r="1120" spans="1:6">
      <c r="A1120" s="383"/>
      <c r="B1120" s="707"/>
      <c r="C1120" s="690"/>
      <c r="D1120" s="694"/>
      <c r="E1120" s="99"/>
      <c r="F1120" s="138"/>
    </row>
    <row r="1121" spans="1:6">
      <c r="A1121" s="692"/>
      <c r="B1121" s="710"/>
      <c r="C1121" s="383"/>
      <c r="D1121" s="708"/>
      <c r="E1121" s="99"/>
      <c r="F1121" s="138"/>
    </row>
    <row r="1122" spans="1:6">
      <c r="A1122" s="383"/>
      <c r="B1122" s="710"/>
      <c r="C1122" s="383"/>
      <c r="D1122" s="708"/>
      <c r="E1122" s="99"/>
      <c r="F1122" s="138"/>
    </row>
    <row r="1123" spans="1:6">
      <c r="A1123" s="711"/>
      <c r="B1123" s="712"/>
      <c r="C1123" s="690"/>
      <c r="D1123" s="690"/>
      <c r="E1123" s="713"/>
      <c r="F1123" s="138"/>
    </row>
    <row r="1124" spans="1:6" ht="15.75">
      <c r="A1124" s="1865"/>
      <c r="B1124" s="1865"/>
      <c r="C1124" s="1865"/>
      <c r="D1124" s="1865"/>
      <c r="E1124" s="1865"/>
      <c r="F1124" s="117"/>
    </row>
    <row r="1126" spans="1:6">
      <c r="A1126" s="154"/>
      <c r="B1126" s="155"/>
      <c r="C1126" s="156"/>
      <c r="D1126" s="156"/>
      <c r="E1126" s="157"/>
      <c r="F1126" s="74"/>
    </row>
    <row r="1128" spans="1:6" ht="15.75">
      <c r="A1128" s="1852"/>
      <c r="B1128" s="1852"/>
      <c r="C1128" s="1852"/>
      <c r="D1128" s="1852"/>
      <c r="E1128" s="1852"/>
      <c r="F1128" s="1852"/>
    </row>
    <row r="1129" spans="1:6" ht="15.75">
      <c r="A1129" s="714"/>
      <c r="B1129" s="714"/>
      <c r="C1129" s="714"/>
      <c r="D1129" s="714"/>
      <c r="E1129" s="715"/>
      <c r="F1129" s="715"/>
    </row>
    <row r="1130" spans="1:6">
      <c r="A1130" s="716"/>
      <c r="B1130" s="717"/>
      <c r="C1130" s="717"/>
      <c r="D1130" s="717"/>
      <c r="E1130" s="718"/>
      <c r="F1130" s="718"/>
    </row>
    <row r="1131" spans="1:6">
      <c r="A1131" s="719"/>
      <c r="B1131" s="720"/>
      <c r="C1131" s="721"/>
      <c r="D1131" s="722"/>
      <c r="E1131" s="99"/>
      <c r="F1131" s="723"/>
    </row>
    <row r="1132" spans="1:6">
      <c r="A1132" s="719"/>
      <c r="B1132" s="720"/>
      <c r="C1132" s="721"/>
      <c r="D1132" s="722"/>
      <c r="E1132" s="99"/>
      <c r="F1132" s="723"/>
    </row>
    <row r="1133" spans="1:6">
      <c r="A1133" s="719"/>
      <c r="B1133" s="724"/>
      <c r="C1133" s="721"/>
      <c r="D1133" s="722"/>
      <c r="E1133" s="99"/>
      <c r="F1133" s="723"/>
    </row>
    <row r="1134" spans="1:6">
      <c r="A1134" s="719"/>
      <c r="B1134" s="725"/>
      <c r="C1134" s="726"/>
      <c r="D1134" s="722"/>
      <c r="E1134" s="723"/>
      <c r="F1134" s="723"/>
    </row>
    <row r="1135" spans="1:6">
      <c r="A1135" s="1853"/>
      <c r="B1135" s="1853"/>
      <c r="C1135" s="1853"/>
      <c r="D1135" s="1853"/>
      <c r="E1135" s="1853"/>
      <c r="F1135" s="727"/>
    </row>
    <row r="1147" spans="1:7" ht="15.75" thickBot="1">
      <c r="G1147" s="57"/>
    </row>
    <row r="1148" spans="1:7" ht="16.5" thickBot="1">
      <c r="A1148" s="742"/>
      <c r="B1148" s="1795" t="s">
        <v>380</v>
      </c>
      <c r="C1148" s="1796"/>
      <c r="D1148" s="1796"/>
      <c r="E1148" s="1796"/>
      <c r="F1148" s="1797"/>
      <c r="G1148" s="599" t="s">
        <v>22</v>
      </c>
    </row>
    <row r="1149" spans="1:7" ht="16.5" thickBot="1">
      <c r="A1149" s="586"/>
      <c r="B1149" s="586"/>
      <c r="C1149" s="586"/>
      <c r="D1149" s="586"/>
      <c r="E1149" s="587"/>
      <c r="F1149" s="587"/>
      <c r="G1149" s="564"/>
    </row>
    <row r="1150" spans="1:7" ht="15.75" thickBot="1">
      <c r="A1150" s="588" t="s">
        <v>6</v>
      </c>
      <c r="B1150" s="589" t="s">
        <v>7</v>
      </c>
      <c r="C1150" s="589" t="s">
        <v>0</v>
      </c>
      <c r="D1150" s="589" t="s">
        <v>8</v>
      </c>
      <c r="E1150" s="590" t="s">
        <v>2</v>
      </c>
      <c r="F1150" s="591" t="s">
        <v>387</v>
      </c>
      <c r="G1150" s="592" t="s">
        <v>9</v>
      </c>
    </row>
    <row r="1151" spans="1:7">
      <c r="A1151" s="674">
        <v>1</v>
      </c>
      <c r="B1151" s="594" t="s">
        <v>49</v>
      </c>
      <c r="C1151" s="595" t="s">
        <v>31</v>
      </c>
      <c r="D1151" s="549">
        <v>1.5</v>
      </c>
      <c r="E1151" s="550" t="e">
        <f>+#REF!</f>
        <v>#REF!</v>
      </c>
      <c r="F1151" s="551"/>
      <c r="G1151" s="552" t="e">
        <f t="shared" ref="G1151:G1157" si="75">+PRODUCT(D1151:F1151)</f>
        <v>#REF!</v>
      </c>
    </row>
    <row r="1152" spans="1:7">
      <c r="A1152" s="674">
        <v>2</v>
      </c>
      <c r="B1152" s="594" t="s">
        <v>58</v>
      </c>
      <c r="C1152" s="595" t="s">
        <v>31</v>
      </c>
      <c r="D1152" s="549">
        <v>2</v>
      </c>
      <c r="E1152" s="550" t="e">
        <f>+#REF!</f>
        <v>#REF!</v>
      </c>
      <c r="F1152" s="551"/>
      <c r="G1152" s="552" t="e">
        <f t="shared" si="75"/>
        <v>#REF!</v>
      </c>
    </row>
    <row r="1153" spans="1:7">
      <c r="A1153" s="674">
        <v>3</v>
      </c>
      <c r="B1153" s="594" t="s">
        <v>54</v>
      </c>
      <c r="C1153" s="595" t="s">
        <v>11</v>
      </c>
      <c r="D1153" s="549">
        <v>0.25</v>
      </c>
      <c r="E1153" s="550" t="e">
        <f>+#REF!</f>
        <v>#REF!</v>
      </c>
      <c r="F1153" s="551"/>
      <c r="G1153" s="552" t="e">
        <f t="shared" si="75"/>
        <v>#REF!</v>
      </c>
    </row>
    <row r="1154" spans="1:7">
      <c r="A1154" s="674">
        <v>4</v>
      </c>
      <c r="B1154" s="594" t="s">
        <v>19</v>
      </c>
      <c r="C1154" s="595" t="s">
        <v>10</v>
      </c>
      <c r="D1154" s="549">
        <v>0.1</v>
      </c>
      <c r="E1154" s="550" t="e">
        <f>+#REF!</f>
        <v>#REF!</v>
      </c>
      <c r="F1154" s="551"/>
      <c r="G1154" s="552" t="e">
        <f t="shared" si="75"/>
        <v>#REF!</v>
      </c>
    </row>
    <row r="1155" spans="1:7">
      <c r="A1155" s="674">
        <v>5</v>
      </c>
      <c r="B1155" s="594" t="s">
        <v>60</v>
      </c>
      <c r="C1155" s="595" t="s">
        <v>31</v>
      </c>
      <c r="D1155" s="549">
        <v>0.5</v>
      </c>
      <c r="E1155" s="550" t="e">
        <f>+#REF!</f>
        <v>#REF!</v>
      </c>
      <c r="F1155" s="802">
        <v>1.03</v>
      </c>
      <c r="G1155" s="552" t="e">
        <f t="shared" si="75"/>
        <v>#REF!</v>
      </c>
    </row>
    <row r="1156" spans="1:7">
      <c r="A1156" s="674">
        <v>6</v>
      </c>
      <c r="B1156" s="594" t="s">
        <v>24</v>
      </c>
      <c r="C1156" s="595" t="s">
        <v>12</v>
      </c>
      <c r="D1156" s="549">
        <v>1</v>
      </c>
      <c r="E1156" s="550" t="e">
        <f>+#REF!</f>
        <v>#REF!</v>
      </c>
      <c r="F1156" s="803">
        <v>0.15</v>
      </c>
      <c r="G1156" s="552" t="e">
        <f t="shared" si="75"/>
        <v>#REF!</v>
      </c>
    </row>
    <row r="1157" spans="1:7" ht="15.75" thickBot="1">
      <c r="A1157" s="674">
        <v>7</v>
      </c>
      <c r="B1157" s="596" t="s">
        <v>25</v>
      </c>
      <c r="C1157" s="597" t="s">
        <v>14</v>
      </c>
      <c r="D1157" s="554">
        <v>0.1</v>
      </c>
      <c r="E1157" s="555" t="e">
        <f>+G1156</f>
        <v>#REF!</v>
      </c>
      <c r="F1157" s="556"/>
      <c r="G1157" s="557" t="e">
        <f t="shared" si="75"/>
        <v>#REF!</v>
      </c>
    </row>
    <row r="1158" spans="1:7" ht="15.75" thickBot="1">
      <c r="A1158" s="1859" t="s">
        <v>5</v>
      </c>
      <c r="B1158" s="1860"/>
      <c r="C1158" s="1860"/>
      <c r="D1158" s="1860"/>
      <c r="E1158" s="1860"/>
      <c r="F1158" s="1861"/>
      <c r="G1158" s="598" t="e">
        <f>+SUM(G1151:G1157)</f>
        <v>#REF!</v>
      </c>
    </row>
    <row r="1160" spans="1:7" ht="15.75" thickBot="1"/>
    <row r="1161" spans="1:7" ht="16.5" thickBot="1">
      <c r="A1161" s="1846" t="s">
        <v>383</v>
      </c>
      <c r="B1161" s="1847"/>
      <c r="C1161" s="1847"/>
      <c r="D1161" s="1847"/>
      <c r="E1161" s="1847"/>
      <c r="F1161" s="1848"/>
    </row>
    <row r="1162" spans="1:7" ht="16.5" thickBot="1">
      <c r="A1162" s="1"/>
      <c r="B1162" s="1"/>
      <c r="C1162" s="1"/>
      <c r="D1162" s="1"/>
      <c r="E1162" s="353"/>
      <c r="F1162" s="353"/>
    </row>
    <row r="1163" spans="1:7">
      <c r="A1163" s="354" t="s">
        <v>6</v>
      </c>
      <c r="B1163" s="355" t="s">
        <v>7</v>
      </c>
      <c r="C1163" s="355" t="s">
        <v>0</v>
      </c>
      <c r="D1163" s="355" t="s">
        <v>8</v>
      </c>
      <c r="E1163" s="356" t="s">
        <v>2</v>
      </c>
      <c r="F1163" s="357" t="s">
        <v>9</v>
      </c>
    </row>
    <row r="1164" spans="1:7">
      <c r="A1164" s="358">
        <v>1</v>
      </c>
      <c r="B1164" s="359" t="s">
        <v>53</v>
      </c>
      <c r="C1164" s="360" t="s">
        <v>0</v>
      </c>
      <c r="D1164" s="361">
        <v>1</v>
      </c>
      <c r="E1164" s="63">
        <v>24190</v>
      </c>
      <c r="F1164" s="362">
        <f>+D1164*E1164</f>
        <v>24190</v>
      </c>
    </row>
    <row r="1165" spans="1:7">
      <c r="A1165" s="358">
        <v>2</v>
      </c>
      <c r="B1165" s="359" t="s">
        <v>384</v>
      </c>
      <c r="C1165" s="360" t="s">
        <v>12</v>
      </c>
      <c r="D1165" s="361">
        <v>1</v>
      </c>
      <c r="E1165" s="63">
        <v>5000</v>
      </c>
      <c r="F1165" s="362">
        <f>+D1165*E1165</f>
        <v>5000</v>
      </c>
    </row>
    <row r="1166" spans="1:7">
      <c r="A1166" s="358">
        <v>3</v>
      </c>
      <c r="B1166" s="9" t="s">
        <v>385</v>
      </c>
      <c r="C1166" s="360" t="s">
        <v>12</v>
      </c>
      <c r="D1166" s="361">
        <v>1</v>
      </c>
      <c r="E1166" s="63">
        <v>73738</v>
      </c>
      <c r="F1166" s="362">
        <f>+D1166*E1166</f>
        <v>73738</v>
      </c>
    </row>
    <row r="1167" spans="1:7" ht="15.75" thickBot="1">
      <c r="A1167" s="363"/>
      <c r="B1167" s="364"/>
      <c r="C1167" s="365"/>
      <c r="D1167" s="366"/>
      <c r="E1167" s="367"/>
      <c r="F1167" s="367"/>
    </row>
    <row r="1168" spans="1:7" ht="15.75" thickBot="1">
      <c r="A1168" s="1843" t="s">
        <v>5</v>
      </c>
      <c r="B1168" s="1844"/>
      <c r="C1168" s="1844"/>
      <c r="D1168" s="1844"/>
      <c r="E1168" s="1845"/>
      <c r="F1168" s="368">
        <f>SUM(F1163:F1166)</f>
        <v>102928</v>
      </c>
    </row>
    <row r="1173" spans="1:7">
      <c r="A1173" s="141"/>
      <c r="B1173" s="137"/>
      <c r="C1173" s="139"/>
      <c r="D1173" s="140"/>
      <c r="E1173" s="99"/>
      <c r="F1173" s="138"/>
    </row>
    <row r="1174" spans="1:7">
      <c r="B1174" s="80"/>
    </row>
    <row r="1176" spans="1:7">
      <c r="G1176" s="136"/>
    </row>
    <row r="1261" spans="7:7">
      <c r="G1261" s="136"/>
    </row>
  </sheetData>
  <mergeCells count="172">
    <mergeCell ref="B744:E744"/>
    <mergeCell ref="B760:E760"/>
    <mergeCell ref="B776:E776"/>
    <mergeCell ref="A791:F791"/>
    <mergeCell ref="A800:E800"/>
    <mergeCell ref="B694:E694"/>
    <mergeCell ref="A711:E711"/>
    <mergeCell ref="B713:E713"/>
    <mergeCell ref="B729:E729"/>
    <mergeCell ref="A632:A633"/>
    <mergeCell ref="B632:E633"/>
    <mergeCell ref="F632:G633"/>
    <mergeCell ref="B642:E642"/>
    <mergeCell ref="A652:E652"/>
    <mergeCell ref="B654:E654"/>
    <mergeCell ref="A665:E665"/>
    <mergeCell ref="B667:E667"/>
    <mergeCell ref="A692:E692"/>
    <mergeCell ref="B384:E384"/>
    <mergeCell ref="B399:E399"/>
    <mergeCell ref="B415:E415"/>
    <mergeCell ref="S291:W291"/>
    <mergeCell ref="A277:F277"/>
    <mergeCell ref="A278:F278"/>
    <mergeCell ref="A315:E315"/>
    <mergeCell ref="A317:F317"/>
    <mergeCell ref="A318:F318"/>
    <mergeCell ref="A351:E351"/>
    <mergeCell ref="S294:U294"/>
    <mergeCell ref="B604:E604"/>
    <mergeCell ref="A615:E615"/>
    <mergeCell ref="B617:E617"/>
    <mergeCell ref="A622:E622"/>
    <mergeCell ref="A624:A625"/>
    <mergeCell ref="B624:E625"/>
    <mergeCell ref="F624:G625"/>
    <mergeCell ref="B522:E522"/>
    <mergeCell ref="A520:E520"/>
    <mergeCell ref="B568:E568"/>
    <mergeCell ref="B576:E576"/>
    <mergeCell ref="F576:G576"/>
    <mergeCell ref="B586:E586"/>
    <mergeCell ref="F586:G586"/>
    <mergeCell ref="S243:X243"/>
    <mergeCell ref="S254:W254"/>
    <mergeCell ref="S422:T423"/>
    <mergeCell ref="S424:T425"/>
    <mergeCell ref="S426:S431"/>
    <mergeCell ref="T426:T428"/>
    <mergeCell ref="T429:T431"/>
    <mergeCell ref="S410:S412"/>
    <mergeCell ref="S416:AB416"/>
    <mergeCell ref="S417:U417"/>
    <mergeCell ref="S418:T419"/>
    <mergeCell ref="S420:T421"/>
    <mergeCell ref="S265:S266"/>
    <mergeCell ref="S267:S270"/>
    <mergeCell ref="S271:Z271"/>
    <mergeCell ref="S257:AA257"/>
    <mergeCell ref="S258:T258"/>
    <mergeCell ref="S259:S260"/>
    <mergeCell ref="S261:S262"/>
    <mergeCell ref="S295:S297"/>
    <mergeCell ref="S298:S301"/>
    <mergeCell ref="S317:S319"/>
    <mergeCell ref="S263:S264"/>
    <mergeCell ref="S273:Z273"/>
    <mergeCell ref="B978:E978"/>
    <mergeCell ref="B993:E993"/>
    <mergeCell ref="B948:E948"/>
    <mergeCell ref="A1124:E1124"/>
    <mergeCell ref="B1099:E1099"/>
    <mergeCell ref="A863:E863"/>
    <mergeCell ref="A877:E877"/>
    <mergeCell ref="B866:E866"/>
    <mergeCell ref="B853:E853"/>
    <mergeCell ref="A2:F2"/>
    <mergeCell ref="A4:F4"/>
    <mergeCell ref="A25:E25"/>
    <mergeCell ref="A27:F27"/>
    <mergeCell ref="A49:E49"/>
    <mergeCell ref="F460:G461"/>
    <mergeCell ref="A460:A461"/>
    <mergeCell ref="B460:E461"/>
    <mergeCell ref="B101:E101"/>
    <mergeCell ref="A113:E113"/>
    <mergeCell ref="A203:F203"/>
    <mergeCell ref="A222:E222"/>
    <mergeCell ref="B130:E130"/>
    <mergeCell ref="A143:E143"/>
    <mergeCell ref="B145:E145"/>
    <mergeCell ref="A157:E157"/>
    <mergeCell ref="B58:F71"/>
    <mergeCell ref="B81:E81"/>
    <mergeCell ref="A88:E88"/>
    <mergeCell ref="B90:E90"/>
    <mergeCell ref="A97:E97"/>
    <mergeCell ref="A228:F228"/>
    <mergeCell ref="A229:F229"/>
    <mergeCell ref="A254:E254"/>
    <mergeCell ref="A1168:E1168"/>
    <mergeCell ref="A1161:F1161"/>
    <mergeCell ref="B115:E115"/>
    <mergeCell ref="A128:E128"/>
    <mergeCell ref="B181:E181"/>
    <mergeCell ref="A200:E200"/>
    <mergeCell ref="B1148:F1148"/>
    <mergeCell ref="B963:E963"/>
    <mergeCell ref="B933:E933"/>
    <mergeCell ref="A1128:F1128"/>
    <mergeCell ref="A1135:E1135"/>
    <mergeCell ref="A179:E179"/>
    <mergeCell ref="B162:E162"/>
    <mergeCell ref="A538:E538"/>
    <mergeCell ref="B913:E913"/>
    <mergeCell ref="F468:G468"/>
    <mergeCell ref="A1158:F1158"/>
    <mergeCell ref="B509:E509"/>
    <mergeCell ref="A909:E909"/>
    <mergeCell ref="A1093:E1093"/>
    <mergeCell ref="B884:E884"/>
    <mergeCell ref="A930:E930"/>
    <mergeCell ref="B836:E836"/>
    <mergeCell ref="A850:E850"/>
    <mergeCell ref="J588:J593"/>
    <mergeCell ref="K588:K590"/>
    <mergeCell ref="K591:K593"/>
    <mergeCell ref="J594:J597"/>
    <mergeCell ref="K594:K595"/>
    <mergeCell ref="S275:S277"/>
    <mergeCell ref="S279:S282"/>
    <mergeCell ref="S285:X285"/>
    <mergeCell ref="S375:AB375"/>
    <mergeCell ref="S363:T364"/>
    <mergeCell ref="K596:K597"/>
    <mergeCell ref="J462:L462"/>
    <mergeCell ref="J463:K464"/>
    <mergeCell ref="S432:AA432"/>
    <mergeCell ref="S371:S374"/>
    <mergeCell ref="T371:T372"/>
    <mergeCell ref="S399:X399"/>
    <mergeCell ref="U388:V388"/>
    <mergeCell ref="S365:S370"/>
    <mergeCell ref="T365:T367"/>
    <mergeCell ref="U378:V378"/>
    <mergeCell ref="T368:T370"/>
    <mergeCell ref="J465:K466"/>
    <mergeCell ref="J467:K468"/>
    <mergeCell ref="J469:K470"/>
    <mergeCell ref="B468:E468"/>
    <mergeCell ref="A489:F489"/>
    <mergeCell ref="A506:E506"/>
    <mergeCell ref="B553:E553"/>
    <mergeCell ref="B542:E542"/>
    <mergeCell ref="A257:F257"/>
    <mergeCell ref="A274:E274"/>
    <mergeCell ref="AE360:AE361"/>
    <mergeCell ref="S361:T362"/>
    <mergeCell ref="U337:AA337"/>
    <mergeCell ref="S356:U356"/>
    <mergeCell ref="S357:T358"/>
    <mergeCell ref="S359:T360"/>
    <mergeCell ref="S320:S323"/>
    <mergeCell ref="S316:U316"/>
    <mergeCell ref="B354:E354"/>
    <mergeCell ref="A484:F484"/>
    <mergeCell ref="A477:F477"/>
    <mergeCell ref="B431:E431"/>
    <mergeCell ref="S274:T274"/>
    <mergeCell ref="T373:T374"/>
    <mergeCell ref="S355:AC355"/>
    <mergeCell ref="B369:E369"/>
  </mergeCells>
  <phoneticPr fontId="24" type="noConversion"/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79998168889431442"/>
  </sheetPr>
  <dimension ref="B1:K87"/>
  <sheetViews>
    <sheetView showGridLines="0" topLeftCell="B1" zoomScale="120" zoomScaleNormal="120" zoomScaleSheetLayoutView="90" workbookViewId="0">
      <selection activeCell="D89" sqref="D89"/>
    </sheetView>
  </sheetViews>
  <sheetFormatPr baseColWidth="10" defaultRowHeight="11.25"/>
  <cols>
    <col min="1" max="1" width="1" style="200" customWidth="1"/>
    <col min="2" max="2" width="3.7109375" style="200" customWidth="1"/>
    <col min="3" max="3" width="36.85546875" style="200" customWidth="1"/>
    <col min="4" max="4" width="15.7109375" style="217" customWidth="1"/>
    <col min="5" max="5" width="11.28515625" style="200" customWidth="1"/>
    <col min="6" max="6" width="12.42578125" style="218" customWidth="1"/>
    <col min="7" max="7" width="16.85546875" style="217" customWidth="1"/>
    <col min="8" max="8" width="1.28515625" style="200" customWidth="1"/>
    <col min="9" max="9" width="13.7109375" style="200" customWidth="1"/>
    <col min="10" max="10" width="13.7109375" style="200" bestFit="1" customWidth="1"/>
    <col min="11" max="11" width="11.85546875" style="200" bestFit="1" customWidth="1"/>
    <col min="12" max="256" width="11.42578125" style="200"/>
    <col min="257" max="257" width="1" style="200" customWidth="1"/>
    <col min="258" max="258" width="3.7109375" style="200" customWidth="1"/>
    <col min="259" max="259" width="39.7109375" style="200" customWidth="1"/>
    <col min="260" max="260" width="15.7109375" style="200" customWidth="1"/>
    <col min="261" max="261" width="12.5703125" style="200" customWidth="1"/>
    <col min="262" max="262" width="28.42578125" style="200" customWidth="1"/>
    <col min="263" max="263" width="18.7109375" style="200" customWidth="1"/>
    <col min="264" max="264" width="1.28515625" style="200" customWidth="1"/>
    <col min="265" max="265" width="13.7109375" style="200" customWidth="1"/>
    <col min="266" max="512" width="11.42578125" style="200"/>
    <col min="513" max="513" width="1" style="200" customWidth="1"/>
    <col min="514" max="514" width="3.7109375" style="200" customWidth="1"/>
    <col min="515" max="515" width="39.7109375" style="200" customWidth="1"/>
    <col min="516" max="516" width="15.7109375" style="200" customWidth="1"/>
    <col min="517" max="517" width="12.5703125" style="200" customWidth="1"/>
    <col min="518" max="518" width="28.42578125" style="200" customWidth="1"/>
    <col min="519" max="519" width="18.7109375" style="200" customWidth="1"/>
    <col min="520" max="520" width="1.28515625" style="200" customWidth="1"/>
    <col min="521" max="521" width="13.7109375" style="200" customWidth="1"/>
    <col min="522" max="768" width="11.42578125" style="200"/>
    <col min="769" max="769" width="1" style="200" customWidth="1"/>
    <col min="770" max="770" width="3.7109375" style="200" customWidth="1"/>
    <col min="771" max="771" width="39.7109375" style="200" customWidth="1"/>
    <col min="772" max="772" width="15.7109375" style="200" customWidth="1"/>
    <col min="773" max="773" width="12.5703125" style="200" customWidth="1"/>
    <col min="774" max="774" width="28.42578125" style="200" customWidth="1"/>
    <col min="775" max="775" width="18.7109375" style="200" customWidth="1"/>
    <col min="776" max="776" width="1.28515625" style="200" customWidth="1"/>
    <col min="777" max="777" width="13.7109375" style="200" customWidth="1"/>
    <col min="778" max="1024" width="11.42578125" style="200"/>
    <col min="1025" max="1025" width="1" style="200" customWidth="1"/>
    <col min="1026" max="1026" width="3.7109375" style="200" customWidth="1"/>
    <col min="1027" max="1027" width="39.7109375" style="200" customWidth="1"/>
    <col min="1028" max="1028" width="15.7109375" style="200" customWidth="1"/>
    <col min="1029" max="1029" width="12.5703125" style="200" customWidth="1"/>
    <col min="1030" max="1030" width="28.42578125" style="200" customWidth="1"/>
    <col min="1031" max="1031" width="18.7109375" style="200" customWidth="1"/>
    <col min="1032" max="1032" width="1.28515625" style="200" customWidth="1"/>
    <col min="1033" max="1033" width="13.7109375" style="200" customWidth="1"/>
    <col min="1034" max="1280" width="11.42578125" style="200"/>
    <col min="1281" max="1281" width="1" style="200" customWidth="1"/>
    <col min="1282" max="1282" width="3.7109375" style="200" customWidth="1"/>
    <col min="1283" max="1283" width="39.7109375" style="200" customWidth="1"/>
    <col min="1284" max="1284" width="15.7109375" style="200" customWidth="1"/>
    <col min="1285" max="1285" width="12.5703125" style="200" customWidth="1"/>
    <col min="1286" max="1286" width="28.42578125" style="200" customWidth="1"/>
    <col min="1287" max="1287" width="18.7109375" style="200" customWidth="1"/>
    <col min="1288" max="1288" width="1.28515625" style="200" customWidth="1"/>
    <col min="1289" max="1289" width="13.7109375" style="200" customWidth="1"/>
    <col min="1290" max="1536" width="11.42578125" style="200"/>
    <col min="1537" max="1537" width="1" style="200" customWidth="1"/>
    <col min="1538" max="1538" width="3.7109375" style="200" customWidth="1"/>
    <col min="1539" max="1539" width="39.7109375" style="200" customWidth="1"/>
    <col min="1540" max="1540" width="15.7109375" style="200" customWidth="1"/>
    <col min="1541" max="1541" width="12.5703125" style="200" customWidth="1"/>
    <col min="1542" max="1542" width="28.42578125" style="200" customWidth="1"/>
    <col min="1543" max="1543" width="18.7109375" style="200" customWidth="1"/>
    <col min="1544" max="1544" width="1.28515625" style="200" customWidth="1"/>
    <col min="1545" max="1545" width="13.7109375" style="200" customWidth="1"/>
    <col min="1546" max="1792" width="11.42578125" style="200"/>
    <col min="1793" max="1793" width="1" style="200" customWidth="1"/>
    <col min="1794" max="1794" width="3.7109375" style="200" customWidth="1"/>
    <col min="1795" max="1795" width="39.7109375" style="200" customWidth="1"/>
    <col min="1796" max="1796" width="15.7109375" style="200" customWidth="1"/>
    <col min="1797" max="1797" width="12.5703125" style="200" customWidth="1"/>
    <col min="1798" max="1798" width="28.42578125" style="200" customWidth="1"/>
    <col min="1799" max="1799" width="18.7109375" style="200" customWidth="1"/>
    <col min="1800" max="1800" width="1.28515625" style="200" customWidth="1"/>
    <col min="1801" max="1801" width="13.7109375" style="200" customWidth="1"/>
    <col min="1802" max="2048" width="11.42578125" style="200"/>
    <col min="2049" max="2049" width="1" style="200" customWidth="1"/>
    <col min="2050" max="2050" width="3.7109375" style="200" customWidth="1"/>
    <col min="2051" max="2051" width="39.7109375" style="200" customWidth="1"/>
    <col min="2052" max="2052" width="15.7109375" style="200" customWidth="1"/>
    <col min="2053" max="2053" width="12.5703125" style="200" customWidth="1"/>
    <col min="2054" max="2054" width="28.42578125" style="200" customWidth="1"/>
    <col min="2055" max="2055" width="18.7109375" style="200" customWidth="1"/>
    <col min="2056" max="2056" width="1.28515625" style="200" customWidth="1"/>
    <col min="2057" max="2057" width="13.7109375" style="200" customWidth="1"/>
    <col min="2058" max="2304" width="11.42578125" style="200"/>
    <col min="2305" max="2305" width="1" style="200" customWidth="1"/>
    <col min="2306" max="2306" width="3.7109375" style="200" customWidth="1"/>
    <col min="2307" max="2307" width="39.7109375" style="200" customWidth="1"/>
    <col min="2308" max="2308" width="15.7109375" style="200" customWidth="1"/>
    <col min="2309" max="2309" width="12.5703125" style="200" customWidth="1"/>
    <col min="2310" max="2310" width="28.42578125" style="200" customWidth="1"/>
    <col min="2311" max="2311" width="18.7109375" style="200" customWidth="1"/>
    <col min="2312" max="2312" width="1.28515625" style="200" customWidth="1"/>
    <col min="2313" max="2313" width="13.7109375" style="200" customWidth="1"/>
    <col min="2314" max="2560" width="11.42578125" style="200"/>
    <col min="2561" max="2561" width="1" style="200" customWidth="1"/>
    <col min="2562" max="2562" width="3.7109375" style="200" customWidth="1"/>
    <col min="2563" max="2563" width="39.7109375" style="200" customWidth="1"/>
    <col min="2564" max="2564" width="15.7109375" style="200" customWidth="1"/>
    <col min="2565" max="2565" width="12.5703125" style="200" customWidth="1"/>
    <col min="2566" max="2566" width="28.42578125" style="200" customWidth="1"/>
    <col min="2567" max="2567" width="18.7109375" style="200" customWidth="1"/>
    <col min="2568" max="2568" width="1.28515625" style="200" customWidth="1"/>
    <col min="2569" max="2569" width="13.7109375" style="200" customWidth="1"/>
    <col min="2570" max="2816" width="11.42578125" style="200"/>
    <col min="2817" max="2817" width="1" style="200" customWidth="1"/>
    <col min="2818" max="2818" width="3.7109375" style="200" customWidth="1"/>
    <col min="2819" max="2819" width="39.7109375" style="200" customWidth="1"/>
    <col min="2820" max="2820" width="15.7109375" style="200" customWidth="1"/>
    <col min="2821" max="2821" width="12.5703125" style="200" customWidth="1"/>
    <col min="2822" max="2822" width="28.42578125" style="200" customWidth="1"/>
    <col min="2823" max="2823" width="18.7109375" style="200" customWidth="1"/>
    <col min="2824" max="2824" width="1.28515625" style="200" customWidth="1"/>
    <col min="2825" max="2825" width="13.7109375" style="200" customWidth="1"/>
    <col min="2826" max="3072" width="11.42578125" style="200"/>
    <col min="3073" max="3073" width="1" style="200" customWidth="1"/>
    <col min="3074" max="3074" width="3.7109375" style="200" customWidth="1"/>
    <col min="3075" max="3075" width="39.7109375" style="200" customWidth="1"/>
    <col min="3076" max="3076" width="15.7109375" style="200" customWidth="1"/>
    <col min="3077" max="3077" width="12.5703125" style="200" customWidth="1"/>
    <col min="3078" max="3078" width="28.42578125" style="200" customWidth="1"/>
    <col min="3079" max="3079" width="18.7109375" style="200" customWidth="1"/>
    <col min="3080" max="3080" width="1.28515625" style="200" customWidth="1"/>
    <col min="3081" max="3081" width="13.7109375" style="200" customWidth="1"/>
    <col min="3082" max="3328" width="11.42578125" style="200"/>
    <col min="3329" max="3329" width="1" style="200" customWidth="1"/>
    <col min="3330" max="3330" width="3.7109375" style="200" customWidth="1"/>
    <col min="3331" max="3331" width="39.7109375" style="200" customWidth="1"/>
    <col min="3332" max="3332" width="15.7109375" style="200" customWidth="1"/>
    <col min="3333" max="3333" width="12.5703125" style="200" customWidth="1"/>
    <col min="3334" max="3334" width="28.42578125" style="200" customWidth="1"/>
    <col min="3335" max="3335" width="18.7109375" style="200" customWidth="1"/>
    <col min="3336" max="3336" width="1.28515625" style="200" customWidth="1"/>
    <col min="3337" max="3337" width="13.7109375" style="200" customWidth="1"/>
    <col min="3338" max="3584" width="11.42578125" style="200"/>
    <col min="3585" max="3585" width="1" style="200" customWidth="1"/>
    <col min="3586" max="3586" width="3.7109375" style="200" customWidth="1"/>
    <col min="3587" max="3587" width="39.7109375" style="200" customWidth="1"/>
    <col min="3588" max="3588" width="15.7109375" style="200" customWidth="1"/>
    <col min="3589" max="3589" width="12.5703125" style="200" customWidth="1"/>
    <col min="3590" max="3590" width="28.42578125" style="200" customWidth="1"/>
    <col min="3591" max="3591" width="18.7109375" style="200" customWidth="1"/>
    <col min="3592" max="3592" width="1.28515625" style="200" customWidth="1"/>
    <col min="3593" max="3593" width="13.7109375" style="200" customWidth="1"/>
    <col min="3594" max="3840" width="11.42578125" style="200"/>
    <col min="3841" max="3841" width="1" style="200" customWidth="1"/>
    <col min="3842" max="3842" width="3.7109375" style="200" customWidth="1"/>
    <col min="3843" max="3843" width="39.7109375" style="200" customWidth="1"/>
    <col min="3844" max="3844" width="15.7109375" style="200" customWidth="1"/>
    <col min="3845" max="3845" width="12.5703125" style="200" customWidth="1"/>
    <col min="3846" max="3846" width="28.42578125" style="200" customWidth="1"/>
    <col min="3847" max="3847" width="18.7109375" style="200" customWidth="1"/>
    <col min="3848" max="3848" width="1.28515625" style="200" customWidth="1"/>
    <col min="3849" max="3849" width="13.7109375" style="200" customWidth="1"/>
    <col min="3850" max="4096" width="11.42578125" style="200"/>
    <col min="4097" max="4097" width="1" style="200" customWidth="1"/>
    <col min="4098" max="4098" width="3.7109375" style="200" customWidth="1"/>
    <col min="4099" max="4099" width="39.7109375" style="200" customWidth="1"/>
    <col min="4100" max="4100" width="15.7109375" style="200" customWidth="1"/>
    <col min="4101" max="4101" width="12.5703125" style="200" customWidth="1"/>
    <col min="4102" max="4102" width="28.42578125" style="200" customWidth="1"/>
    <col min="4103" max="4103" width="18.7109375" style="200" customWidth="1"/>
    <col min="4104" max="4104" width="1.28515625" style="200" customWidth="1"/>
    <col min="4105" max="4105" width="13.7109375" style="200" customWidth="1"/>
    <col min="4106" max="4352" width="11.42578125" style="200"/>
    <col min="4353" max="4353" width="1" style="200" customWidth="1"/>
    <col min="4354" max="4354" width="3.7109375" style="200" customWidth="1"/>
    <col min="4355" max="4355" width="39.7109375" style="200" customWidth="1"/>
    <col min="4356" max="4356" width="15.7109375" style="200" customWidth="1"/>
    <col min="4357" max="4357" width="12.5703125" style="200" customWidth="1"/>
    <col min="4358" max="4358" width="28.42578125" style="200" customWidth="1"/>
    <col min="4359" max="4359" width="18.7109375" style="200" customWidth="1"/>
    <col min="4360" max="4360" width="1.28515625" style="200" customWidth="1"/>
    <col min="4361" max="4361" width="13.7109375" style="200" customWidth="1"/>
    <col min="4362" max="4608" width="11.42578125" style="200"/>
    <col min="4609" max="4609" width="1" style="200" customWidth="1"/>
    <col min="4610" max="4610" width="3.7109375" style="200" customWidth="1"/>
    <col min="4611" max="4611" width="39.7109375" style="200" customWidth="1"/>
    <col min="4612" max="4612" width="15.7109375" style="200" customWidth="1"/>
    <col min="4613" max="4613" width="12.5703125" style="200" customWidth="1"/>
    <col min="4614" max="4614" width="28.42578125" style="200" customWidth="1"/>
    <col min="4615" max="4615" width="18.7109375" style="200" customWidth="1"/>
    <col min="4616" max="4616" width="1.28515625" style="200" customWidth="1"/>
    <col min="4617" max="4617" width="13.7109375" style="200" customWidth="1"/>
    <col min="4618" max="4864" width="11.42578125" style="200"/>
    <col min="4865" max="4865" width="1" style="200" customWidth="1"/>
    <col min="4866" max="4866" width="3.7109375" style="200" customWidth="1"/>
    <col min="4867" max="4867" width="39.7109375" style="200" customWidth="1"/>
    <col min="4868" max="4868" width="15.7109375" style="200" customWidth="1"/>
    <col min="4869" max="4869" width="12.5703125" style="200" customWidth="1"/>
    <col min="4870" max="4870" width="28.42578125" style="200" customWidth="1"/>
    <col min="4871" max="4871" width="18.7109375" style="200" customWidth="1"/>
    <col min="4872" max="4872" width="1.28515625" style="200" customWidth="1"/>
    <col min="4873" max="4873" width="13.7109375" style="200" customWidth="1"/>
    <col min="4874" max="5120" width="11.42578125" style="200"/>
    <col min="5121" max="5121" width="1" style="200" customWidth="1"/>
    <col min="5122" max="5122" width="3.7109375" style="200" customWidth="1"/>
    <col min="5123" max="5123" width="39.7109375" style="200" customWidth="1"/>
    <col min="5124" max="5124" width="15.7109375" style="200" customWidth="1"/>
    <col min="5125" max="5125" width="12.5703125" style="200" customWidth="1"/>
    <col min="5126" max="5126" width="28.42578125" style="200" customWidth="1"/>
    <col min="5127" max="5127" width="18.7109375" style="200" customWidth="1"/>
    <col min="5128" max="5128" width="1.28515625" style="200" customWidth="1"/>
    <col min="5129" max="5129" width="13.7109375" style="200" customWidth="1"/>
    <col min="5130" max="5376" width="11.42578125" style="200"/>
    <col min="5377" max="5377" width="1" style="200" customWidth="1"/>
    <col min="5378" max="5378" width="3.7109375" style="200" customWidth="1"/>
    <col min="5379" max="5379" width="39.7109375" style="200" customWidth="1"/>
    <col min="5380" max="5380" width="15.7109375" style="200" customWidth="1"/>
    <col min="5381" max="5381" width="12.5703125" style="200" customWidth="1"/>
    <col min="5382" max="5382" width="28.42578125" style="200" customWidth="1"/>
    <col min="5383" max="5383" width="18.7109375" style="200" customWidth="1"/>
    <col min="5384" max="5384" width="1.28515625" style="200" customWidth="1"/>
    <col min="5385" max="5385" width="13.7109375" style="200" customWidth="1"/>
    <col min="5386" max="5632" width="11.42578125" style="200"/>
    <col min="5633" max="5633" width="1" style="200" customWidth="1"/>
    <col min="5634" max="5634" width="3.7109375" style="200" customWidth="1"/>
    <col min="5635" max="5635" width="39.7109375" style="200" customWidth="1"/>
    <col min="5636" max="5636" width="15.7109375" style="200" customWidth="1"/>
    <col min="5637" max="5637" width="12.5703125" style="200" customWidth="1"/>
    <col min="5638" max="5638" width="28.42578125" style="200" customWidth="1"/>
    <col min="5639" max="5639" width="18.7109375" style="200" customWidth="1"/>
    <col min="5640" max="5640" width="1.28515625" style="200" customWidth="1"/>
    <col min="5641" max="5641" width="13.7109375" style="200" customWidth="1"/>
    <col min="5642" max="5888" width="11.42578125" style="200"/>
    <col min="5889" max="5889" width="1" style="200" customWidth="1"/>
    <col min="5890" max="5890" width="3.7109375" style="200" customWidth="1"/>
    <col min="5891" max="5891" width="39.7109375" style="200" customWidth="1"/>
    <col min="5892" max="5892" width="15.7109375" style="200" customWidth="1"/>
    <col min="5893" max="5893" width="12.5703125" style="200" customWidth="1"/>
    <col min="5894" max="5894" width="28.42578125" style="200" customWidth="1"/>
    <col min="5895" max="5895" width="18.7109375" style="200" customWidth="1"/>
    <col min="5896" max="5896" width="1.28515625" style="200" customWidth="1"/>
    <col min="5897" max="5897" width="13.7109375" style="200" customWidth="1"/>
    <col min="5898" max="6144" width="11.42578125" style="200"/>
    <col min="6145" max="6145" width="1" style="200" customWidth="1"/>
    <col min="6146" max="6146" width="3.7109375" style="200" customWidth="1"/>
    <col min="6147" max="6147" width="39.7109375" style="200" customWidth="1"/>
    <col min="6148" max="6148" width="15.7109375" style="200" customWidth="1"/>
    <col min="6149" max="6149" width="12.5703125" style="200" customWidth="1"/>
    <col min="6150" max="6150" width="28.42578125" style="200" customWidth="1"/>
    <col min="6151" max="6151" width="18.7109375" style="200" customWidth="1"/>
    <col min="6152" max="6152" width="1.28515625" style="200" customWidth="1"/>
    <col min="6153" max="6153" width="13.7109375" style="200" customWidth="1"/>
    <col min="6154" max="6400" width="11.42578125" style="200"/>
    <col min="6401" max="6401" width="1" style="200" customWidth="1"/>
    <col min="6402" max="6402" width="3.7109375" style="200" customWidth="1"/>
    <col min="6403" max="6403" width="39.7109375" style="200" customWidth="1"/>
    <col min="6404" max="6404" width="15.7109375" style="200" customWidth="1"/>
    <col min="6405" max="6405" width="12.5703125" style="200" customWidth="1"/>
    <col min="6406" max="6406" width="28.42578125" style="200" customWidth="1"/>
    <col min="6407" max="6407" width="18.7109375" style="200" customWidth="1"/>
    <col min="6408" max="6408" width="1.28515625" style="200" customWidth="1"/>
    <col min="6409" max="6409" width="13.7109375" style="200" customWidth="1"/>
    <col min="6410" max="6656" width="11.42578125" style="200"/>
    <col min="6657" max="6657" width="1" style="200" customWidth="1"/>
    <col min="6658" max="6658" width="3.7109375" style="200" customWidth="1"/>
    <col min="6659" max="6659" width="39.7109375" style="200" customWidth="1"/>
    <col min="6660" max="6660" width="15.7109375" style="200" customWidth="1"/>
    <col min="6661" max="6661" width="12.5703125" style="200" customWidth="1"/>
    <col min="6662" max="6662" width="28.42578125" style="200" customWidth="1"/>
    <col min="6663" max="6663" width="18.7109375" style="200" customWidth="1"/>
    <col min="6664" max="6664" width="1.28515625" style="200" customWidth="1"/>
    <col min="6665" max="6665" width="13.7109375" style="200" customWidth="1"/>
    <col min="6666" max="6912" width="11.42578125" style="200"/>
    <col min="6913" max="6913" width="1" style="200" customWidth="1"/>
    <col min="6914" max="6914" width="3.7109375" style="200" customWidth="1"/>
    <col min="6915" max="6915" width="39.7109375" style="200" customWidth="1"/>
    <col min="6916" max="6916" width="15.7109375" style="200" customWidth="1"/>
    <col min="6917" max="6917" width="12.5703125" style="200" customWidth="1"/>
    <col min="6918" max="6918" width="28.42578125" style="200" customWidth="1"/>
    <col min="6919" max="6919" width="18.7109375" style="200" customWidth="1"/>
    <col min="6920" max="6920" width="1.28515625" style="200" customWidth="1"/>
    <col min="6921" max="6921" width="13.7109375" style="200" customWidth="1"/>
    <col min="6922" max="7168" width="11.42578125" style="200"/>
    <col min="7169" max="7169" width="1" style="200" customWidth="1"/>
    <col min="7170" max="7170" width="3.7109375" style="200" customWidth="1"/>
    <col min="7171" max="7171" width="39.7109375" style="200" customWidth="1"/>
    <col min="7172" max="7172" width="15.7109375" style="200" customWidth="1"/>
    <col min="7173" max="7173" width="12.5703125" style="200" customWidth="1"/>
    <col min="7174" max="7174" width="28.42578125" style="200" customWidth="1"/>
    <col min="7175" max="7175" width="18.7109375" style="200" customWidth="1"/>
    <col min="7176" max="7176" width="1.28515625" style="200" customWidth="1"/>
    <col min="7177" max="7177" width="13.7109375" style="200" customWidth="1"/>
    <col min="7178" max="7424" width="11.42578125" style="200"/>
    <col min="7425" max="7425" width="1" style="200" customWidth="1"/>
    <col min="7426" max="7426" width="3.7109375" style="200" customWidth="1"/>
    <col min="7427" max="7427" width="39.7109375" style="200" customWidth="1"/>
    <col min="7428" max="7428" width="15.7109375" style="200" customWidth="1"/>
    <col min="7429" max="7429" width="12.5703125" style="200" customWidth="1"/>
    <col min="7430" max="7430" width="28.42578125" style="200" customWidth="1"/>
    <col min="7431" max="7431" width="18.7109375" style="200" customWidth="1"/>
    <col min="7432" max="7432" width="1.28515625" style="200" customWidth="1"/>
    <col min="7433" max="7433" width="13.7109375" style="200" customWidth="1"/>
    <col min="7434" max="7680" width="11.42578125" style="200"/>
    <col min="7681" max="7681" width="1" style="200" customWidth="1"/>
    <col min="7682" max="7682" width="3.7109375" style="200" customWidth="1"/>
    <col min="7683" max="7683" width="39.7109375" style="200" customWidth="1"/>
    <col min="7684" max="7684" width="15.7109375" style="200" customWidth="1"/>
    <col min="7685" max="7685" width="12.5703125" style="200" customWidth="1"/>
    <col min="7686" max="7686" width="28.42578125" style="200" customWidth="1"/>
    <col min="7687" max="7687" width="18.7109375" style="200" customWidth="1"/>
    <col min="7688" max="7688" width="1.28515625" style="200" customWidth="1"/>
    <col min="7689" max="7689" width="13.7109375" style="200" customWidth="1"/>
    <col min="7690" max="7936" width="11.42578125" style="200"/>
    <col min="7937" max="7937" width="1" style="200" customWidth="1"/>
    <col min="7938" max="7938" width="3.7109375" style="200" customWidth="1"/>
    <col min="7939" max="7939" width="39.7109375" style="200" customWidth="1"/>
    <col min="7940" max="7940" width="15.7109375" style="200" customWidth="1"/>
    <col min="7941" max="7941" width="12.5703125" style="200" customWidth="1"/>
    <col min="7942" max="7942" width="28.42578125" style="200" customWidth="1"/>
    <col min="7943" max="7943" width="18.7109375" style="200" customWidth="1"/>
    <col min="7944" max="7944" width="1.28515625" style="200" customWidth="1"/>
    <col min="7945" max="7945" width="13.7109375" style="200" customWidth="1"/>
    <col min="7946" max="8192" width="11.42578125" style="200"/>
    <col min="8193" max="8193" width="1" style="200" customWidth="1"/>
    <col min="8194" max="8194" width="3.7109375" style="200" customWidth="1"/>
    <col min="8195" max="8195" width="39.7109375" style="200" customWidth="1"/>
    <col min="8196" max="8196" width="15.7109375" style="200" customWidth="1"/>
    <col min="8197" max="8197" width="12.5703125" style="200" customWidth="1"/>
    <col min="8198" max="8198" width="28.42578125" style="200" customWidth="1"/>
    <col min="8199" max="8199" width="18.7109375" style="200" customWidth="1"/>
    <col min="8200" max="8200" width="1.28515625" style="200" customWidth="1"/>
    <col min="8201" max="8201" width="13.7109375" style="200" customWidth="1"/>
    <col min="8202" max="8448" width="11.42578125" style="200"/>
    <col min="8449" max="8449" width="1" style="200" customWidth="1"/>
    <col min="8450" max="8450" width="3.7109375" style="200" customWidth="1"/>
    <col min="8451" max="8451" width="39.7109375" style="200" customWidth="1"/>
    <col min="8452" max="8452" width="15.7109375" style="200" customWidth="1"/>
    <col min="8453" max="8453" width="12.5703125" style="200" customWidth="1"/>
    <col min="8454" max="8454" width="28.42578125" style="200" customWidth="1"/>
    <col min="8455" max="8455" width="18.7109375" style="200" customWidth="1"/>
    <col min="8456" max="8456" width="1.28515625" style="200" customWidth="1"/>
    <col min="8457" max="8457" width="13.7109375" style="200" customWidth="1"/>
    <col min="8458" max="8704" width="11.42578125" style="200"/>
    <col min="8705" max="8705" width="1" style="200" customWidth="1"/>
    <col min="8706" max="8706" width="3.7109375" style="200" customWidth="1"/>
    <col min="8707" max="8707" width="39.7109375" style="200" customWidth="1"/>
    <col min="8708" max="8708" width="15.7109375" style="200" customWidth="1"/>
    <col min="8709" max="8709" width="12.5703125" style="200" customWidth="1"/>
    <col min="8710" max="8710" width="28.42578125" style="200" customWidth="1"/>
    <col min="8711" max="8711" width="18.7109375" style="200" customWidth="1"/>
    <col min="8712" max="8712" width="1.28515625" style="200" customWidth="1"/>
    <col min="8713" max="8713" width="13.7109375" style="200" customWidth="1"/>
    <col min="8714" max="8960" width="11.42578125" style="200"/>
    <col min="8961" max="8961" width="1" style="200" customWidth="1"/>
    <col min="8962" max="8962" width="3.7109375" style="200" customWidth="1"/>
    <col min="8963" max="8963" width="39.7109375" style="200" customWidth="1"/>
    <col min="8964" max="8964" width="15.7109375" style="200" customWidth="1"/>
    <col min="8965" max="8965" width="12.5703125" style="200" customWidth="1"/>
    <col min="8966" max="8966" width="28.42578125" style="200" customWidth="1"/>
    <col min="8967" max="8967" width="18.7109375" style="200" customWidth="1"/>
    <col min="8968" max="8968" width="1.28515625" style="200" customWidth="1"/>
    <col min="8969" max="8969" width="13.7109375" style="200" customWidth="1"/>
    <col min="8970" max="9216" width="11.42578125" style="200"/>
    <col min="9217" max="9217" width="1" style="200" customWidth="1"/>
    <col min="9218" max="9218" width="3.7109375" style="200" customWidth="1"/>
    <col min="9219" max="9219" width="39.7109375" style="200" customWidth="1"/>
    <col min="9220" max="9220" width="15.7109375" style="200" customWidth="1"/>
    <col min="9221" max="9221" width="12.5703125" style="200" customWidth="1"/>
    <col min="9222" max="9222" width="28.42578125" style="200" customWidth="1"/>
    <col min="9223" max="9223" width="18.7109375" style="200" customWidth="1"/>
    <col min="9224" max="9224" width="1.28515625" style="200" customWidth="1"/>
    <col min="9225" max="9225" width="13.7109375" style="200" customWidth="1"/>
    <col min="9226" max="9472" width="11.42578125" style="200"/>
    <col min="9473" max="9473" width="1" style="200" customWidth="1"/>
    <col min="9474" max="9474" width="3.7109375" style="200" customWidth="1"/>
    <col min="9475" max="9475" width="39.7109375" style="200" customWidth="1"/>
    <col min="9476" max="9476" width="15.7109375" style="200" customWidth="1"/>
    <col min="9477" max="9477" width="12.5703125" style="200" customWidth="1"/>
    <col min="9478" max="9478" width="28.42578125" style="200" customWidth="1"/>
    <col min="9479" max="9479" width="18.7109375" style="200" customWidth="1"/>
    <col min="9480" max="9480" width="1.28515625" style="200" customWidth="1"/>
    <col min="9481" max="9481" width="13.7109375" style="200" customWidth="1"/>
    <col min="9482" max="9728" width="11.42578125" style="200"/>
    <col min="9729" max="9729" width="1" style="200" customWidth="1"/>
    <col min="9730" max="9730" width="3.7109375" style="200" customWidth="1"/>
    <col min="9731" max="9731" width="39.7109375" style="200" customWidth="1"/>
    <col min="9732" max="9732" width="15.7109375" style="200" customWidth="1"/>
    <col min="9733" max="9733" width="12.5703125" style="200" customWidth="1"/>
    <col min="9734" max="9734" width="28.42578125" style="200" customWidth="1"/>
    <col min="9735" max="9735" width="18.7109375" style="200" customWidth="1"/>
    <col min="9736" max="9736" width="1.28515625" style="200" customWidth="1"/>
    <col min="9737" max="9737" width="13.7109375" style="200" customWidth="1"/>
    <col min="9738" max="9984" width="11.42578125" style="200"/>
    <col min="9985" max="9985" width="1" style="200" customWidth="1"/>
    <col min="9986" max="9986" width="3.7109375" style="200" customWidth="1"/>
    <col min="9987" max="9987" width="39.7109375" style="200" customWidth="1"/>
    <col min="9988" max="9988" width="15.7109375" style="200" customWidth="1"/>
    <col min="9989" max="9989" width="12.5703125" style="200" customWidth="1"/>
    <col min="9990" max="9990" width="28.42578125" style="200" customWidth="1"/>
    <col min="9991" max="9991" width="18.7109375" style="200" customWidth="1"/>
    <col min="9992" max="9992" width="1.28515625" style="200" customWidth="1"/>
    <col min="9993" max="9993" width="13.7109375" style="200" customWidth="1"/>
    <col min="9994" max="10240" width="11.42578125" style="200"/>
    <col min="10241" max="10241" width="1" style="200" customWidth="1"/>
    <col min="10242" max="10242" width="3.7109375" style="200" customWidth="1"/>
    <col min="10243" max="10243" width="39.7109375" style="200" customWidth="1"/>
    <col min="10244" max="10244" width="15.7109375" style="200" customWidth="1"/>
    <col min="10245" max="10245" width="12.5703125" style="200" customWidth="1"/>
    <col min="10246" max="10246" width="28.42578125" style="200" customWidth="1"/>
    <col min="10247" max="10247" width="18.7109375" style="200" customWidth="1"/>
    <col min="10248" max="10248" width="1.28515625" style="200" customWidth="1"/>
    <col min="10249" max="10249" width="13.7109375" style="200" customWidth="1"/>
    <col min="10250" max="10496" width="11.42578125" style="200"/>
    <col min="10497" max="10497" width="1" style="200" customWidth="1"/>
    <col min="10498" max="10498" width="3.7109375" style="200" customWidth="1"/>
    <col min="10499" max="10499" width="39.7109375" style="200" customWidth="1"/>
    <col min="10500" max="10500" width="15.7109375" style="200" customWidth="1"/>
    <col min="10501" max="10501" width="12.5703125" style="200" customWidth="1"/>
    <col min="10502" max="10502" width="28.42578125" style="200" customWidth="1"/>
    <col min="10503" max="10503" width="18.7109375" style="200" customWidth="1"/>
    <col min="10504" max="10504" width="1.28515625" style="200" customWidth="1"/>
    <col min="10505" max="10505" width="13.7109375" style="200" customWidth="1"/>
    <col min="10506" max="10752" width="11.42578125" style="200"/>
    <col min="10753" max="10753" width="1" style="200" customWidth="1"/>
    <col min="10754" max="10754" width="3.7109375" style="200" customWidth="1"/>
    <col min="10755" max="10755" width="39.7109375" style="200" customWidth="1"/>
    <col min="10756" max="10756" width="15.7109375" style="200" customWidth="1"/>
    <col min="10757" max="10757" width="12.5703125" style="200" customWidth="1"/>
    <col min="10758" max="10758" width="28.42578125" style="200" customWidth="1"/>
    <col min="10759" max="10759" width="18.7109375" style="200" customWidth="1"/>
    <col min="10760" max="10760" width="1.28515625" style="200" customWidth="1"/>
    <col min="10761" max="10761" width="13.7109375" style="200" customWidth="1"/>
    <col min="10762" max="11008" width="11.42578125" style="200"/>
    <col min="11009" max="11009" width="1" style="200" customWidth="1"/>
    <col min="11010" max="11010" width="3.7109375" style="200" customWidth="1"/>
    <col min="11011" max="11011" width="39.7109375" style="200" customWidth="1"/>
    <col min="11012" max="11012" width="15.7109375" style="200" customWidth="1"/>
    <col min="11013" max="11013" width="12.5703125" style="200" customWidth="1"/>
    <col min="11014" max="11014" width="28.42578125" style="200" customWidth="1"/>
    <col min="11015" max="11015" width="18.7109375" style="200" customWidth="1"/>
    <col min="11016" max="11016" width="1.28515625" style="200" customWidth="1"/>
    <col min="11017" max="11017" width="13.7109375" style="200" customWidth="1"/>
    <col min="11018" max="11264" width="11.42578125" style="200"/>
    <col min="11265" max="11265" width="1" style="200" customWidth="1"/>
    <col min="11266" max="11266" width="3.7109375" style="200" customWidth="1"/>
    <col min="11267" max="11267" width="39.7109375" style="200" customWidth="1"/>
    <col min="11268" max="11268" width="15.7109375" style="200" customWidth="1"/>
    <col min="11269" max="11269" width="12.5703125" style="200" customWidth="1"/>
    <col min="11270" max="11270" width="28.42578125" style="200" customWidth="1"/>
    <col min="11271" max="11271" width="18.7109375" style="200" customWidth="1"/>
    <col min="11272" max="11272" width="1.28515625" style="200" customWidth="1"/>
    <col min="11273" max="11273" width="13.7109375" style="200" customWidth="1"/>
    <col min="11274" max="11520" width="11.42578125" style="200"/>
    <col min="11521" max="11521" width="1" style="200" customWidth="1"/>
    <col min="11522" max="11522" width="3.7109375" style="200" customWidth="1"/>
    <col min="11523" max="11523" width="39.7109375" style="200" customWidth="1"/>
    <col min="11524" max="11524" width="15.7109375" style="200" customWidth="1"/>
    <col min="11525" max="11525" width="12.5703125" style="200" customWidth="1"/>
    <col min="11526" max="11526" width="28.42578125" style="200" customWidth="1"/>
    <col min="11527" max="11527" width="18.7109375" style="200" customWidth="1"/>
    <col min="11528" max="11528" width="1.28515625" style="200" customWidth="1"/>
    <col min="11529" max="11529" width="13.7109375" style="200" customWidth="1"/>
    <col min="11530" max="11776" width="11.42578125" style="200"/>
    <col min="11777" max="11777" width="1" style="200" customWidth="1"/>
    <col min="11778" max="11778" width="3.7109375" style="200" customWidth="1"/>
    <col min="11779" max="11779" width="39.7109375" style="200" customWidth="1"/>
    <col min="11780" max="11780" width="15.7109375" style="200" customWidth="1"/>
    <col min="11781" max="11781" width="12.5703125" style="200" customWidth="1"/>
    <col min="11782" max="11782" width="28.42578125" style="200" customWidth="1"/>
    <col min="11783" max="11783" width="18.7109375" style="200" customWidth="1"/>
    <col min="11784" max="11784" width="1.28515625" style="200" customWidth="1"/>
    <col min="11785" max="11785" width="13.7109375" style="200" customWidth="1"/>
    <col min="11786" max="12032" width="11.42578125" style="200"/>
    <col min="12033" max="12033" width="1" style="200" customWidth="1"/>
    <col min="12034" max="12034" width="3.7109375" style="200" customWidth="1"/>
    <col min="12035" max="12035" width="39.7109375" style="200" customWidth="1"/>
    <col min="12036" max="12036" width="15.7109375" style="200" customWidth="1"/>
    <col min="12037" max="12037" width="12.5703125" style="200" customWidth="1"/>
    <col min="12038" max="12038" width="28.42578125" style="200" customWidth="1"/>
    <col min="12039" max="12039" width="18.7109375" style="200" customWidth="1"/>
    <col min="12040" max="12040" width="1.28515625" style="200" customWidth="1"/>
    <col min="12041" max="12041" width="13.7109375" style="200" customWidth="1"/>
    <col min="12042" max="12288" width="11.42578125" style="200"/>
    <col min="12289" max="12289" width="1" style="200" customWidth="1"/>
    <col min="12290" max="12290" width="3.7109375" style="200" customWidth="1"/>
    <col min="12291" max="12291" width="39.7109375" style="200" customWidth="1"/>
    <col min="12292" max="12292" width="15.7109375" style="200" customWidth="1"/>
    <col min="12293" max="12293" width="12.5703125" style="200" customWidth="1"/>
    <col min="12294" max="12294" width="28.42578125" style="200" customWidth="1"/>
    <col min="12295" max="12295" width="18.7109375" style="200" customWidth="1"/>
    <col min="12296" max="12296" width="1.28515625" style="200" customWidth="1"/>
    <col min="12297" max="12297" width="13.7109375" style="200" customWidth="1"/>
    <col min="12298" max="12544" width="11.42578125" style="200"/>
    <col min="12545" max="12545" width="1" style="200" customWidth="1"/>
    <col min="12546" max="12546" width="3.7109375" style="200" customWidth="1"/>
    <col min="12547" max="12547" width="39.7109375" style="200" customWidth="1"/>
    <col min="12548" max="12548" width="15.7109375" style="200" customWidth="1"/>
    <col min="12549" max="12549" width="12.5703125" style="200" customWidth="1"/>
    <col min="12550" max="12550" width="28.42578125" style="200" customWidth="1"/>
    <col min="12551" max="12551" width="18.7109375" style="200" customWidth="1"/>
    <col min="12552" max="12552" width="1.28515625" style="200" customWidth="1"/>
    <col min="12553" max="12553" width="13.7109375" style="200" customWidth="1"/>
    <col min="12554" max="12800" width="11.42578125" style="200"/>
    <col min="12801" max="12801" width="1" style="200" customWidth="1"/>
    <col min="12802" max="12802" width="3.7109375" style="200" customWidth="1"/>
    <col min="12803" max="12803" width="39.7109375" style="200" customWidth="1"/>
    <col min="12804" max="12804" width="15.7109375" style="200" customWidth="1"/>
    <col min="12805" max="12805" width="12.5703125" style="200" customWidth="1"/>
    <col min="12806" max="12806" width="28.42578125" style="200" customWidth="1"/>
    <col min="12807" max="12807" width="18.7109375" style="200" customWidth="1"/>
    <col min="12808" max="12808" width="1.28515625" style="200" customWidth="1"/>
    <col min="12809" max="12809" width="13.7109375" style="200" customWidth="1"/>
    <col min="12810" max="13056" width="11.42578125" style="200"/>
    <col min="13057" max="13057" width="1" style="200" customWidth="1"/>
    <col min="13058" max="13058" width="3.7109375" style="200" customWidth="1"/>
    <col min="13059" max="13059" width="39.7109375" style="200" customWidth="1"/>
    <col min="13060" max="13060" width="15.7109375" style="200" customWidth="1"/>
    <col min="13061" max="13061" width="12.5703125" style="200" customWidth="1"/>
    <col min="13062" max="13062" width="28.42578125" style="200" customWidth="1"/>
    <col min="13063" max="13063" width="18.7109375" style="200" customWidth="1"/>
    <col min="13064" max="13064" width="1.28515625" style="200" customWidth="1"/>
    <col min="13065" max="13065" width="13.7109375" style="200" customWidth="1"/>
    <col min="13066" max="13312" width="11.42578125" style="200"/>
    <col min="13313" max="13313" width="1" style="200" customWidth="1"/>
    <col min="13314" max="13314" width="3.7109375" style="200" customWidth="1"/>
    <col min="13315" max="13315" width="39.7109375" style="200" customWidth="1"/>
    <col min="13316" max="13316" width="15.7109375" style="200" customWidth="1"/>
    <col min="13317" max="13317" width="12.5703125" style="200" customWidth="1"/>
    <col min="13318" max="13318" width="28.42578125" style="200" customWidth="1"/>
    <col min="13319" max="13319" width="18.7109375" style="200" customWidth="1"/>
    <col min="13320" max="13320" width="1.28515625" style="200" customWidth="1"/>
    <col min="13321" max="13321" width="13.7109375" style="200" customWidth="1"/>
    <col min="13322" max="13568" width="11.42578125" style="200"/>
    <col min="13569" max="13569" width="1" style="200" customWidth="1"/>
    <col min="13570" max="13570" width="3.7109375" style="200" customWidth="1"/>
    <col min="13571" max="13571" width="39.7109375" style="200" customWidth="1"/>
    <col min="13572" max="13572" width="15.7109375" style="200" customWidth="1"/>
    <col min="13573" max="13573" width="12.5703125" style="200" customWidth="1"/>
    <col min="13574" max="13574" width="28.42578125" style="200" customWidth="1"/>
    <col min="13575" max="13575" width="18.7109375" style="200" customWidth="1"/>
    <col min="13576" max="13576" width="1.28515625" style="200" customWidth="1"/>
    <col min="13577" max="13577" width="13.7109375" style="200" customWidth="1"/>
    <col min="13578" max="13824" width="11.42578125" style="200"/>
    <col min="13825" max="13825" width="1" style="200" customWidth="1"/>
    <col min="13826" max="13826" width="3.7109375" style="200" customWidth="1"/>
    <col min="13827" max="13827" width="39.7109375" style="200" customWidth="1"/>
    <col min="13828" max="13828" width="15.7109375" style="200" customWidth="1"/>
    <col min="13829" max="13829" width="12.5703125" style="200" customWidth="1"/>
    <col min="13830" max="13830" width="28.42578125" style="200" customWidth="1"/>
    <col min="13831" max="13831" width="18.7109375" style="200" customWidth="1"/>
    <col min="13832" max="13832" width="1.28515625" style="200" customWidth="1"/>
    <col min="13833" max="13833" width="13.7109375" style="200" customWidth="1"/>
    <col min="13834" max="14080" width="11.42578125" style="200"/>
    <col min="14081" max="14081" width="1" style="200" customWidth="1"/>
    <col min="14082" max="14082" width="3.7109375" style="200" customWidth="1"/>
    <col min="14083" max="14083" width="39.7109375" style="200" customWidth="1"/>
    <col min="14084" max="14084" width="15.7109375" style="200" customWidth="1"/>
    <col min="14085" max="14085" width="12.5703125" style="200" customWidth="1"/>
    <col min="14086" max="14086" width="28.42578125" style="200" customWidth="1"/>
    <col min="14087" max="14087" width="18.7109375" style="200" customWidth="1"/>
    <col min="14088" max="14088" width="1.28515625" style="200" customWidth="1"/>
    <col min="14089" max="14089" width="13.7109375" style="200" customWidth="1"/>
    <col min="14090" max="14336" width="11.42578125" style="200"/>
    <col min="14337" max="14337" width="1" style="200" customWidth="1"/>
    <col min="14338" max="14338" width="3.7109375" style="200" customWidth="1"/>
    <col min="14339" max="14339" width="39.7109375" style="200" customWidth="1"/>
    <col min="14340" max="14340" width="15.7109375" style="200" customWidth="1"/>
    <col min="14341" max="14341" width="12.5703125" style="200" customWidth="1"/>
    <col min="14342" max="14342" width="28.42578125" style="200" customWidth="1"/>
    <col min="14343" max="14343" width="18.7109375" style="200" customWidth="1"/>
    <col min="14344" max="14344" width="1.28515625" style="200" customWidth="1"/>
    <col min="14345" max="14345" width="13.7109375" style="200" customWidth="1"/>
    <col min="14346" max="14592" width="11.42578125" style="200"/>
    <col min="14593" max="14593" width="1" style="200" customWidth="1"/>
    <col min="14594" max="14594" width="3.7109375" style="200" customWidth="1"/>
    <col min="14595" max="14595" width="39.7109375" style="200" customWidth="1"/>
    <col min="14596" max="14596" width="15.7109375" style="200" customWidth="1"/>
    <col min="14597" max="14597" width="12.5703125" style="200" customWidth="1"/>
    <col min="14598" max="14598" width="28.42578125" style="200" customWidth="1"/>
    <col min="14599" max="14599" width="18.7109375" style="200" customWidth="1"/>
    <col min="14600" max="14600" width="1.28515625" style="200" customWidth="1"/>
    <col min="14601" max="14601" width="13.7109375" style="200" customWidth="1"/>
    <col min="14602" max="14848" width="11.42578125" style="200"/>
    <col min="14849" max="14849" width="1" style="200" customWidth="1"/>
    <col min="14850" max="14850" width="3.7109375" style="200" customWidth="1"/>
    <col min="14851" max="14851" width="39.7109375" style="200" customWidth="1"/>
    <col min="14852" max="14852" width="15.7109375" style="200" customWidth="1"/>
    <col min="14853" max="14853" width="12.5703125" style="200" customWidth="1"/>
    <col min="14854" max="14854" width="28.42578125" style="200" customWidth="1"/>
    <col min="14855" max="14855" width="18.7109375" style="200" customWidth="1"/>
    <col min="14856" max="14856" width="1.28515625" style="200" customWidth="1"/>
    <col min="14857" max="14857" width="13.7109375" style="200" customWidth="1"/>
    <col min="14858" max="15104" width="11.42578125" style="200"/>
    <col min="15105" max="15105" width="1" style="200" customWidth="1"/>
    <col min="15106" max="15106" width="3.7109375" style="200" customWidth="1"/>
    <col min="15107" max="15107" width="39.7109375" style="200" customWidth="1"/>
    <col min="15108" max="15108" width="15.7109375" style="200" customWidth="1"/>
    <col min="15109" max="15109" width="12.5703125" style="200" customWidth="1"/>
    <col min="15110" max="15110" width="28.42578125" style="200" customWidth="1"/>
    <col min="15111" max="15111" width="18.7109375" style="200" customWidth="1"/>
    <col min="15112" max="15112" width="1.28515625" style="200" customWidth="1"/>
    <col min="15113" max="15113" width="13.7109375" style="200" customWidth="1"/>
    <col min="15114" max="15360" width="11.42578125" style="200"/>
    <col min="15361" max="15361" width="1" style="200" customWidth="1"/>
    <col min="15362" max="15362" width="3.7109375" style="200" customWidth="1"/>
    <col min="15363" max="15363" width="39.7109375" style="200" customWidth="1"/>
    <col min="15364" max="15364" width="15.7109375" style="200" customWidth="1"/>
    <col min="15365" max="15365" width="12.5703125" style="200" customWidth="1"/>
    <col min="15366" max="15366" width="28.42578125" style="200" customWidth="1"/>
    <col min="15367" max="15367" width="18.7109375" style="200" customWidth="1"/>
    <col min="15368" max="15368" width="1.28515625" style="200" customWidth="1"/>
    <col min="15369" max="15369" width="13.7109375" style="200" customWidth="1"/>
    <col min="15370" max="15616" width="11.42578125" style="200"/>
    <col min="15617" max="15617" width="1" style="200" customWidth="1"/>
    <col min="15618" max="15618" width="3.7109375" style="200" customWidth="1"/>
    <col min="15619" max="15619" width="39.7109375" style="200" customWidth="1"/>
    <col min="15620" max="15620" width="15.7109375" style="200" customWidth="1"/>
    <col min="15621" max="15621" width="12.5703125" style="200" customWidth="1"/>
    <col min="15622" max="15622" width="28.42578125" style="200" customWidth="1"/>
    <col min="15623" max="15623" width="18.7109375" style="200" customWidth="1"/>
    <col min="15624" max="15624" width="1.28515625" style="200" customWidth="1"/>
    <col min="15625" max="15625" width="13.7109375" style="200" customWidth="1"/>
    <col min="15626" max="15872" width="11.42578125" style="200"/>
    <col min="15873" max="15873" width="1" style="200" customWidth="1"/>
    <col min="15874" max="15874" width="3.7109375" style="200" customWidth="1"/>
    <col min="15875" max="15875" width="39.7109375" style="200" customWidth="1"/>
    <col min="15876" max="15876" width="15.7109375" style="200" customWidth="1"/>
    <col min="15877" max="15877" width="12.5703125" style="200" customWidth="1"/>
    <col min="15878" max="15878" width="28.42578125" style="200" customWidth="1"/>
    <col min="15879" max="15879" width="18.7109375" style="200" customWidth="1"/>
    <col min="15880" max="15880" width="1.28515625" style="200" customWidth="1"/>
    <col min="15881" max="15881" width="13.7109375" style="200" customWidth="1"/>
    <col min="15882" max="16128" width="11.42578125" style="200"/>
    <col min="16129" max="16129" width="1" style="200" customWidth="1"/>
    <col min="16130" max="16130" width="3.7109375" style="200" customWidth="1"/>
    <col min="16131" max="16131" width="39.7109375" style="200" customWidth="1"/>
    <col min="16132" max="16132" width="15.7109375" style="200" customWidth="1"/>
    <col min="16133" max="16133" width="12.5703125" style="200" customWidth="1"/>
    <col min="16134" max="16134" width="28.42578125" style="200" customWidth="1"/>
    <col min="16135" max="16135" width="18.7109375" style="200" customWidth="1"/>
    <col min="16136" max="16136" width="1.28515625" style="200" customWidth="1"/>
    <col min="16137" max="16137" width="13.7109375" style="200" customWidth="1"/>
    <col min="16138" max="16384" width="11.42578125" style="200"/>
  </cols>
  <sheetData>
    <row r="1" spans="2:9" ht="12.75">
      <c r="B1" s="197"/>
      <c r="C1" s="10"/>
      <c r="D1" s="198"/>
      <c r="E1" s="198"/>
      <c r="F1" s="199"/>
      <c r="G1" s="10"/>
    </row>
    <row r="2" spans="2:9" ht="12.75" customHeight="1">
      <c r="B2" s="1667" t="s">
        <v>301</v>
      </c>
      <c r="C2" s="1667"/>
      <c r="D2" s="1667"/>
      <c r="E2" s="1667"/>
      <c r="F2" s="1667"/>
      <c r="G2" s="1667"/>
    </row>
    <row r="3" spans="2:9" ht="12.75" customHeight="1">
      <c r="B3" s="1667"/>
      <c r="C3" s="1667"/>
      <c r="D3" s="1667"/>
      <c r="E3" s="1667"/>
      <c r="F3" s="1667"/>
      <c r="G3" s="1667"/>
    </row>
    <row r="4" spans="2:9" ht="12.75" customHeight="1">
      <c r="B4" s="1667"/>
      <c r="C4" s="1667"/>
      <c r="D4" s="1667"/>
      <c r="E4" s="1667"/>
      <c r="F4" s="1667"/>
      <c r="G4" s="1667"/>
    </row>
    <row r="5" spans="2:9" ht="15">
      <c r="C5" s="201" t="s">
        <v>302</v>
      </c>
      <c r="D5" s="202">
        <v>3</v>
      </c>
      <c r="E5" s="203"/>
      <c r="F5" s="204" t="s">
        <v>127</v>
      </c>
      <c r="G5" s="205">
        <f>+'PRESU (14A18),(11A14+)'!S52</f>
        <v>0</v>
      </c>
      <c r="I5" s="206"/>
    </row>
    <row r="6" spans="2:9" ht="12.75">
      <c r="C6" s="207"/>
      <c r="D6" s="208"/>
      <c r="E6" s="209"/>
      <c r="F6" s="204" t="s">
        <v>303</v>
      </c>
      <c r="G6" s="210">
        <f>+'PRESU (14A18),(11A14+)'!S49</f>
        <v>0</v>
      </c>
    </row>
    <row r="8" spans="2:9">
      <c r="B8" s="211" t="s">
        <v>304</v>
      </c>
      <c r="C8" s="212" t="s">
        <v>305</v>
      </c>
      <c r="D8" s="213"/>
      <c r="E8" s="214"/>
      <c r="F8" s="215"/>
      <c r="G8" s="216"/>
    </row>
    <row r="9" spans="2:9">
      <c r="B9" s="208"/>
      <c r="C9" s="209"/>
    </row>
    <row r="10" spans="2:9" ht="22.5">
      <c r="B10" s="211"/>
      <c r="C10" s="219" t="s">
        <v>306</v>
      </c>
      <c r="D10" s="220" t="s">
        <v>307</v>
      </c>
      <c r="E10" s="221" t="s">
        <v>308</v>
      </c>
      <c r="F10" s="222" t="s">
        <v>309</v>
      </c>
      <c r="G10" s="220" t="s">
        <v>310</v>
      </c>
    </row>
    <row r="12" spans="2:9">
      <c r="B12" s="927">
        <v>1.1000000000000001</v>
      </c>
      <c r="C12" s="923" t="s">
        <v>311</v>
      </c>
      <c r="D12" s="924"/>
      <c r="E12" s="231">
        <v>0.3</v>
      </c>
      <c r="F12" s="925">
        <v>3</v>
      </c>
      <c r="G12" s="926">
        <f t="shared" ref="G12:G21" si="0">F12*E12*D12</f>
        <v>0</v>
      </c>
    </row>
    <row r="13" spans="2:9">
      <c r="B13" s="927">
        <f>+B12+0.1</f>
        <v>1.2000000000000002</v>
      </c>
      <c r="C13" s="334" t="s">
        <v>312</v>
      </c>
      <c r="D13" s="230"/>
      <c r="E13" s="231">
        <v>1</v>
      </c>
      <c r="F13" s="232">
        <v>3</v>
      </c>
      <c r="G13" s="233">
        <f t="shared" si="0"/>
        <v>0</v>
      </c>
    </row>
    <row r="14" spans="2:9">
      <c r="B14" s="927">
        <v>1.3</v>
      </c>
      <c r="C14" s="958" t="s">
        <v>461</v>
      </c>
      <c r="D14" s="230"/>
      <c r="E14" s="231">
        <v>1</v>
      </c>
      <c r="F14" s="337">
        <v>3</v>
      </c>
      <c r="G14" s="233">
        <f t="shared" si="0"/>
        <v>0</v>
      </c>
    </row>
    <row r="15" spans="2:9">
      <c r="B15" s="927">
        <v>1.4</v>
      </c>
      <c r="C15" s="917" t="s">
        <v>313</v>
      </c>
      <c r="D15" s="918"/>
      <c r="E15" s="921"/>
      <c r="F15" s="922"/>
      <c r="G15" s="918">
        <f t="shared" si="0"/>
        <v>0</v>
      </c>
    </row>
    <row r="16" spans="2:9">
      <c r="B16" s="229">
        <v>1.5</v>
      </c>
      <c r="C16" s="917" t="s">
        <v>314</v>
      </c>
      <c r="D16" s="918"/>
      <c r="E16" s="231"/>
      <c r="F16" s="337"/>
      <c r="G16" s="230">
        <f t="shared" si="0"/>
        <v>0</v>
      </c>
    </row>
    <row r="17" spans="2:9">
      <c r="B17" s="229">
        <v>1.6</v>
      </c>
      <c r="C17" s="917" t="s">
        <v>315</v>
      </c>
      <c r="D17" s="918"/>
      <c r="E17" s="231"/>
      <c r="F17" s="337"/>
      <c r="G17" s="230">
        <f t="shared" si="0"/>
        <v>0</v>
      </c>
    </row>
    <row r="18" spans="2:9">
      <c r="B18" s="229">
        <v>1.7</v>
      </c>
      <c r="C18" s="917" t="s">
        <v>316</v>
      </c>
      <c r="D18" s="918"/>
      <c r="E18" s="231"/>
      <c r="F18" s="337"/>
      <c r="G18" s="230">
        <f t="shared" si="0"/>
        <v>0</v>
      </c>
    </row>
    <row r="19" spans="2:9">
      <c r="B19" s="229">
        <v>1.8</v>
      </c>
      <c r="C19" s="917" t="s">
        <v>33</v>
      </c>
      <c r="D19" s="918"/>
      <c r="E19" s="231">
        <v>0</v>
      </c>
      <c r="F19" s="337">
        <v>3</v>
      </c>
      <c r="G19" s="230">
        <f t="shared" si="0"/>
        <v>0</v>
      </c>
      <c r="I19" s="1564">
        <f>+D19*1.66</f>
        <v>0</v>
      </c>
    </row>
    <row r="20" spans="2:9">
      <c r="B20" s="229">
        <v>1.9</v>
      </c>
      <c r="C20" s="919" t="s">
        <v>440</v>
      </c>
      <c r="D20" s="920"/>
      <c r="E20" s="240"/>
      <c r="F20" s="241"/>
      <c r="G20" s="239">
        <f>F20*E20*D20</f>
        <v>0</v>
      </c>
    </row>
    <row r="21" spans="2:9">
      <c r="B21" s="223">
        <v>1.9</v>
      </c>
      <c r="C21" s="242" t="s">
        <v>319</v>
      </c>
      <c r="D21" s="243"/>
      <c r="E21" s="244"/>
      <c r="F21" s="245">
        <v>3</v>
      </c>
      <c r="G21" s="243">
        <f t="shared" si="0"/>
        <v>0</v>
      </c>
    </row>
    <row r="23" spans="2:9">
      <c r="C23" s="246" t="s">
        <v>320</v>
      </c>
      <c r="D23" s="213"/>
      <c r="E23" s="214"/>
      <c r="F23" s="247"/>
      <c r="G23" s="248">
        <f>SUM(G12:G21)</f>
        <v>0</v>
      </c>
    </row>
    <row r="24" spans="2:9">
      <c r="C24" s="246" t="s">
        <v>321</v>
      </c>
      <c r="D24" s="213"/>
      <c r="E24" s="214"/>
      <c r="F24" s="249">
        <v>0.66290000000000004</v>
      </c>
      <c r="G24" s="248">
        <f>F24*G23</f>
        <v>0</v>
      </c>
    </row>
    <row r="25" spans="2:9">
      <c r="C25" s="246" t="s">
        <v>322</v>
      </c>
      <c r="D25" s="213"/>
      <c r="E25" s="214"/>
      <c r="F25" s="247"/>
      <c r="G25" s="248">
        <f>G24+G23</f>
        <v>0</v>
      </c>
    </row>
    <row r="27" spans="2:9">
      <c r="B27" s="211" t="s">
        <v>323</v>
      </c>
      <c r="C27" s="212" t="s">
        <v>324</v>
      </c>
      <c r="D27" s="213"/>
      <c r="E27" s="214"/>
      <c r="F27" s="215"/>
      <c r="G27" s="216"/>
    </row>
    <row r="29" spans="2:9">
      <c r="B29" s="250">
        <v>2.1</v>
      </c>
      <c r="C29" s="251" t="s">
        <v>325</v>
      </c>
      <c r="D29" s="225"/>
      <c r="E29" s="252">
        <v>0</v>
      </c>
      <c r="F29" s="253">
        <v>0</v>
      </c>
      <c r="G29" s="225">
        <f>F29*E29*D29</f>
        <v>0</v>
      </c>
    </row>
    <row r="30" spans="2:9">
      <c r="B30" s="229">
        <v>2.2000000000000002</v>
      </c>
      <c r="C30" s="959" t="s">
        <v>326</v>
      </c>
      <c r="D30" s="960"/>
      <c r="E30" s="961">
        <v>0</v>
      </c>
      <c r="F30" s="962">
        <v>3</v>
      </c>
      <c r="G30" s="960">
        <f>F30*E30*D30</f>
        <v>0</v>
      </c>
    </row>
    <row r="31" spans="2:9">
      <c r="B31" s="257">
        <v>2.2999999999999998</v>
      </c>
      <c r="C31" s="258" t="s">
        <v>327</v>
      </c>
      <c r="D31" s="235"/>
      <c r="E31" s="259">
        <v>0</v>
      </c>
      <c r="F31" s="237">
        <v>0</v>
      </c>
      <c r="G31" s="235">
        <f>F31*E31*D31</f>
        <v>0</v>
      </c>
    </row>
    <row r="32" spans="2:9">
      <c r="B32" s="254">
        <v>2.4</v>
      </c>
      <c r="C32" s="255" t="s">
        <v>328</v>
      </c>
      <c r="D32" s="230"/>
      <c r="E32" s="256">
        <v>0</v>
      </c>
      <c r="F32" s="218">
        <v>3</v>
      </c>
      <c r="G32" s="230">
        <f>F32*E32*D32</f>
        <v>0</v>
      </c>
    </row>
    <row r="33" spans="2:10">
      <c r="B33" s="260">
        <v>2.5</v>
      </c>
      <c r="C33" s="261" t="s">
        <v>329</v>
      </c>
      <c r="D33" s="262"/>
      <c r="E33" s="263">
        <v>0</v>
      </c>
      <c r="F33" s="264">
        <v>0</v>
      </c>
      <c r="G33" s="262">
        <f>F33*E33*D33</f>
        <v>0</v>
      </c>
    </row>
    <row r="35" spans="2:10">
      <c r="C35" s="246" t="s">
        <v>320</v>
      </c>
      <c r="D35" s="213"/>
      <c r="E35" s="214"/>
      <c r="F35" s="247"/>
      <c r="G35" s="248">
        <f>SUM(G29:G33)</f>
        <v>0</v>
      </c>
    </row>
    <row r="36" spans="2:10">
      <c r="C36" s="246" t="s">
        <v>321</v>
      </c>
      <c r="D36" s="213"/>
      <c r="E36" s="214"/>
      <c r="F36" s="249">
        <v>0.66290000000000004</v>
      </c>
      <c r="G36" s="248">
        <f>F36*G35</f>
        <v>0</v>
      </c>
    </row>
    <row r="37" spans="2:10">
      <c r="C37" s="246" t="s">
        <v>322</v>
      </c>
      <c r="D37" s="213"/>
      <c r="E37" s="214"/>
      <c r="F37" s="247"/>
      <c r="G37" s="248">
        <f>G36+G35</f>
        <v>0</v>
      </c>
      <c r="J37" s="217">
        <f>+SUM(G25+G37+G43+G57)</f>
        <v>0</v>
      </c>
    </row>
    <row r="39" spans="2:10">
      <c r="B39" s="211" t="s">
        <v>330</v>
      </c>
      <c r="C39" s="212" t="s">
        <v>331</v>
      </c>
      <c r="D39" s="213"/>
      <c r="E39" s="214"/>
      <c r="F39" s="215"/>
      <c r="G39" s="216"/>
    </row>
    <row r="41" spans="2:10">
      <c r="B41" s="927">
        <v>3.1</v>
      </c>
      <c r="C41" s="945" t="s">
        <v>332</v>
      </c>
      <c r="D41" s="932">
        <f>+G5</f>
        <v>0</v>
      </c>
      <c r="E41" s="933">
        <v>0.01</v>
      </c>
      <c r="F41" s="931"/>
      <c r="G41" s="932">
        <f>+D41*E41</f>
        <v>0</v>
      </c>
    </row>
    <row r="43" spans="2:10">
      <c r="C43" s="246" t="s">
        <v>333</v>
      </c>
      <c r="D43" s="213"/>
      <c r="E43" s="214"/>
      <c r="F43" s="247"/>
      <c r="G43" s="248">
        <f>SUM(G41:G41)</f>
        <v>0</v>
      </c>
      <c r="I43" s="268"/>
    </row>
    <row r="45" spans="2:10">
      <c r="B45" s="211" t="s">
        <v>334</v>
      </c>
      <c r="C45" s="212" t="s">
        <v>335</v>
      </c>
      <c r="D45" s="213"/>
      <c r="E45" s="214"/>
      <c r="F45" s="215"/>
      <c r="G45" s="216"/>
    </row>
    <row r="47" spans="2:10">
      <c r="B47" s="269">
        <v>4.0999999999999996</v>
      </c>
      <c r="C47" s="270" t="s">
        <v>336</v>
      </c>
      <c r="D47" s="271">
        <f>+$G$5</f>
        <v>0</v>
      </c>
      <c r="E47" s="272"/>
      <c r="F47" s="273"/>
      <c r="G47" s="274">
        <f t="shared" ref="G47:G55" si="1">+E47*D47</f>
        <v>0</v>
      </c>
    </row>
    <row r="48" spans="2:10">
      <c r="B48" s="935">
        <v>4.0999999999999996</v>
      </c>
      <c r="C48" s="934" t="s">
        <v>441</v>
      </c>
      <c r="D48" s="928">
        <f>+$G$5</f>
        <v>0</v>
      </c>
      <c r="E48" s="941">
        <v>0.02</v>
      </c>
      <c r="F48" s="942"/>
      <c r="G48" s="924">
        <f t="shared" si="1"/>
        <v>0</v>
      </c>
    </row>
    <row r="49" spans="2:11">
      <c r="B49" s="935">
        <f t="shared" ref="B49:B51" si="2">+B48+0.1</f>
        <v>4.1999999999999993</v>
      </c>
      <c r="C49" s="938" t="s">
        <v>441</v>
      </c>
      <c r="D49" s="929">
        <f t="shared" ref="D49:D52" si="3">+$G$5</f>
        <v>0</v>
      </c>
      <c r="E49" s="943"/>
      <c r="F49" s="940"/>
      <c r="G49" s="918">
        <f t="shared" si="1"/>
        <v>0</v>
      </c>
    </row>
    <row r="50" spans="2:11">
      <c r="B50" s="935">
        <f t="shared" si="2"/>
        <v>4.2999999999999989</v>
      </c>
      <c r="C50" s="938" t="s">
        <v>441</v>
      </c>
      <c r="D50" s="929">
        <f t="shared" si="3"/>
        <v>0</v>
      </c>
      <c r="E50" s="943"/>
      <c r="F50" s="940"/>
      <c r="G50" s="918">
        <f t="shared" si="1"/>
        <v>0</v>
      </c>
    </row>
    <row r="51" spans="2:11">
      <c r="B51" s="935">
        <f t="shared" si="2"/>
        <v>4.3999999999999986</v>
      </c>
      <c r="C51" s="938" t="s">
        <v>441</v>
      </c>
      <c r="D51" s="929">
        <f t="shared" si="3"/>
        <v>0</v>
      </c>
      <c r="E51" s="943"/>
      <c r="F51" s="940"/>
      <c r="G51" s="918">
        <f t="shared" si="1"/>
        <v>0</v>
      </c>
    </row>
    <row r="52" spans="2:11">
      <c r="B52" s="935">
        <v>4.2</v>
      </c>
      <c r="C52" s="938" t="s">
        <v>442</v>
      </c>
      <c r="D52" s="929">
        <f t="shared" si="3"/>
        <v>0</v>
      </c>
      <c r="E52" s="943">
        <v>0.02</v>
      </c>
      <c r="F52" s="940"/>
      <c r="G52" s="918">
        <f t="shared" si="1"/>
        <v>0</v>
      </c>
    </row>
    <row r="53" spans="2:11">
      <c r="B53" s="936">
        <v>4.3</v>
      </c>
      <c r="C53" s="938" t="s">
        <v>341</v>
      </c>
      <c r="D53" s="929">
        <f>+$G$5</f>
        <v>0</v>
      </c>
      <c r="E53" s="943">
        <v>0.05</v>
      </c>
      <c r="F53" s="940"/>
      <c r="G53" s="918">
        <f t="shared" si="1"/>
        <v>0</v>
      </c>
    </row>
    <row r="54" spans="2:11">
      <c r="B54" s="936">
        <v>4.4000000000000004</v>
      </c>
      <c r="C54" s="938"/>
      <c r="D54" s="929"/>
      <c r="E54" s="943"/>
      <c r="F54" s="940"/>
      <c r="G54" s="918">
        <f t="shared" si="1"/>
        <v>0</v>
      </c>
      <c r="K54" s="206"/>
    </row>
    <row r="55" spans="2:11">
      <c r="B55" s="937">
        <v>4.5</v>
      </c>
      <c r="C55" s="939"/>
      <c r="D55" s="930"/>
      <c r="E55" s="943"/>
      <c r="F55" s="940"/>
      <c r="G55" s="918">
        <f t="shared" si="1"/>
        <v>0</v>
      </c>
    </row>
    <row r="56" spans="2:11">
      <c r="B56" s="286"/>
      <c r="C56" s="238"/>
      <c r="D56" s="287"/>
      <c r="E56" s="944"/>
      <c r="F56" s="289"/>
      <c r="G56" s="239"/>
    </row>
    <row r="57" spans="2:11">
      <c r="C57" s="246" t="s">
        <v>344</v>
      </c>
      <c r="D57" s="213"/>
      <c r="E57" s="214"/>
      <c r="F57" s="247"/>
      <c r="G57" s="248">
        <f>SUM(G47:G55)</f>
        <v>0</v>
      </c>
      <c r="I57" s="268"/>
    </row>
    <row r="59" spans="2:11">
      <c r="B59" s="211" t="s">
        <v>345</v>
      </c>
      <c r="C59" s="212" t="s">
        <v>346</v>
      </c>
      <c r="D59" s="213"/>
      <c r="E59" s="214"/>
      <c r="F59" s="215"/>
      <c r="G59" s="216"/>
    </row>
    <row r="60" spans="2:11" ht="15.6" hidden="1" customHeight="1"/>
    <row r="61" spans="2:11" hidden="1">
      <c r="B61" s="250">
        <v>5.0999999999999996</v>
      </c>
      <c r="C61" s="224" t="s">
        <v>347</v>
      </c>
      <c r="D61" s="290">
        <v>50000</v>
      </c>
      <c r="E61" s="291"/>
      <c r="F61" s="227">
        <f t="shared" ref="F61:F64" si="4">+$D$5</f>
        <v>3</v>
      </c>
      <c r="G61" s="225">
        <f t="shared" ref="G61:G66" si="5">F61*E61*D61</f>
        <v>0</v>
      </c>
    </row>
    <row r="62" spans="2:11" hidden="1">
      <c r="B62" s="257">
        <v>5.2</v>
      </c>
      <c r="C62" s="234" t="s">
        <v>348</v>
      </c>
      <c r="D62" s="292">
        <v>80000</v>
      </c>
      <c r="E62" s="236"/>
      <c r="F62" s="281">
        <f t="shared" si="4"/>
        <v>3</v>
      </c>
      <c r="G62" s="235">
        <f t="shared" si="5"/>
        <v>0</v>
      </c>
    </row>
    <row r="63" spans="2:11" hidden="1">
      <c r="B63" s="257">
        <v>5.3</v>
      </c>
      <c r="C63" s="234" t="s">
        <v>349</v>
      </c>
      <c r="D63" s="292">
        <v>80000</v>
      </c>
      <c r="E63" s="236"/>
      <c r="F63" s="281">
        <f t="shared" si="4"/>
        <v>3</v>
      </c>
      <c r="G63" s="235">
        <f t="shared" si="5"/>
        <v>0</v>
      </c>
    </row>
    <row r="64" spans="2:11" hidden="1">
      <c r="B64" s="257">
        <v>5.4</v>
      </c>
      <c r="C64" s="234" t="s">
        <v>350</v>
      </c>
      <c r="D64" s="292">
        <v>30000</v>
      </c>
      <c r="E64" s="236"/>
      <c r="F64" s="281">
        <f t="shared" si="4"/>
        <v>3</v>
      </c>
      <c r="G64" s="235">
        <f t="shared" si="5"/>
        <v>0</v>
      </c>
    </row>
    <row r="65" spans="2:11" hidden="1">
      <c r="B65" s="250">
        <v>5.5</v>
      </c>
      <c r="C65" s="224" t="s">
        <v>351</v>
      </c>
      <c r="D65" s="290">
        <v>306782</v>
      </c>
      <c r="E65" s="291">
        <v>1</v>
      </c>
      <c r="F65" s="227">
        <v>4</v>
      </c>
      <c r="G65" s="225"/>
    </row>
    <row r="66" spans="2:11" hidden="1">
      <c r="B66" s="223">
        <v>5.6</v>
      </c>
      <c r="C66" s="315" t="s">
        <v>352</v>
      </c>
      <c r="D66" s="243">
        <v>1700000</v>
      </c>
      <c r="E66" s="244">
        <v>2</v>
      </c>
      <c r="F66" s="267"/>
      <c r="G66" s="243">
        <f t="shared" si="5"/>
        <v>0</v>
      </c>
    </row>
    <row r="68" spans="2:11">
      <c r="C68" s="293" t="s">
        <v>353</v>
      </c>
      <c r="D68" s="294"/>
      <c r="E68" s="270"/>
      <c r="F68" s="295"/>
      <c r="G68" s="248">
        <f>SUM(G61:G67)</f>
        <v>0</v>
      </c>
    </row>
    <row r="69" spans="2:11">
      <c r="C69" s="255" t="s">
        <v>354</v>
      </c>
      <c r="F69" s="296"/>
      <c r="G69" s="248">
        <f>F69*G68</f>
        <v>0</v>
      </c>
    </row>
    <row r="70" spans="2:11">
      <c r="C70" s="297" t="s">
        <v>355</v>
      </c>
      <c r="D70" s="287"/>
      <c r="E70" s="238"/>
      <c r="F70" s="298"/>
      <c r="G70" s="248">
        <f>G69+G68</f>
        <v>0</v>
      </c>
    </row>
    <row r="71" spans="2:11">
      <c r="F71" s="299"/>
    </row>
    <row r="72" spans="2:11">
      <c r="B72" s="211">
        <v>6</v>
      </c>
      <c r="C72" s="212" t="s">
        <v>356</v>
      </c>
      <c r="D72" s="213"/>
      <c r="E72" s="214"/>
      <c r="F72" s="215"/>
      <c r="G72" s="216"/>
      <c r="K72" s="206"/>
    </row>
    <row r="74" spans="2:11" hidden="1">
      <c r="B74" s="223">
        <v>6.1</v>
      </c>
      <c r="C74" s="265" t="s">
        <v>357</v>
      </c>
      <c r="D74" s="300">
        <v>2000000</v>
      </c>
      <c r="E74" s="244">
        <v>1</v>
      </c>
      <c r="F74" s="267"/>
      <c r="G74" s="243">
        <f>F74*E74*D74</f>
        <v>0</v>
      </c>
    </row>
    <row r="75" spans="2:11" hidden="1">
      <c r="B75" s="301">
        <v>6.2</v>
      </c>
      <c r="C75" s="238" t="s">
        <v>358</v>
      </c>
      <c r="D75" s="302">
        <v>150000</v>
      </c>
      <c r="E75" s="240">
        <v>0</v>
      </c>
      <c r="F75" s="303">
        <f>+$D$5</f>
        <v>3</v>
      </c>
      <c r="G75" s="239">
        <f>F75*E75*D75</f>
        <v>0</v>
      </c>
    </row>
    <row r="76" spans="2:11" hidden="1"/>
    <row r="77" spans="2:11">
      <c r="C77" s="246" t="s">
        <v>359</v>
      </c>
      <c r="D77" s="213"/>
      <c r="E77" s="214"/>
      <c r="F77" s="215"/>
      <c r="G77" s="304">
        <f>SUM(G74:G76)</f>
        <v>0</v>
      </c>
    </row>
    <row r="78" spans="2:11">
      <c r="F78" s="299"/>
    </row>
    <row r="79" spans="2:11">
      <c r="B79" s="305">
        <v>1</v>
      </c>
      <c r="C79" s="212" t="s">
        <v>360</v>
      </c>
      <c r="D79" s="213"/>
      <c r="E79" s="214"/>
      <c r="F79" s="963"/>
      <c r="G79" s="307">
        <f>+G25+G37+G43+G57+G70+G77</f>
        <v>0</v>
      </c>
      <c r="I79" s="308">
        <f>+G25+G37+G43+G57</f>
        <v>0</v>
      </c>
    </row>
    <row r="80" spans="2:11">
      <c r="B80" s="309"/>
      <c r="F80" s="310"/>
      <c r="G80" s="311"/>
      <c r="K80" s="206"/>
    </row>
    <row r="81" spans="2:11">
      <c r="B81" s="309">
        <v>2</v>
      </c>
      <c r="C81" s="212" t="s">
        <v>361</v>
      </c>
      <c r="D81" s="213"/>
      <c r="E81" s="214"/>
      <c r="F81" s="963"/>
      <c r="G81" s="307">
        <f>+ROUND(G6*F81,0)</f>
        <v>0</v>
      </c>
      <c r="I81" s="1561">
        <f>+G25+G37+G43+G57</f>
        <v>0</v>
      </c>
      <c r="J81" s="1562"/>
      <c r="K81" s="206"/>
    </row>
    <row r="82" spans="2:11">
      <c r="F82" s="312"/>
    </row>
    <row r="83" spans="2:11" ht="12.75">
      <c r="B83" s="246"/>
      <c r="C83" s="212" t="s">
        <v>362</v>
      </c>
      <c r="D83" s="213"/>
      <c r="E83" s="214"/>
      <c r="F83" s="313">
        <f>+SUM(F79:F81)</f>
        <v>0</v>
      </c>
      <c r="G83" s="307">
        <f>+SUM(G79:G81)</f>
        <v>0</v>
      </c>
    </row>
    <row r="86" spans="2:11" ht="12.75">
      <c r="C86" s="314"/>
      <c r="D86" s="287"/>
    </row>
    <row r="87" spans="2:11" ht="12.75">
      <c r="C87" s="1668" t="s">
        <v>645</v>
      </c>
      <c r="D87" s="1668"/>
    </row>
  </sheetData>
  <mergeCells count="2">
    <mergeCell ref="B2:G4"/>
    <mergeCell ref="C87:D87"/>
  </mergeCells>
  <pageMargins left="0.7" right="0.7" top="0.75" bottom="0.75" header="0.3" footer="0.3"/>
  <pageSetup paperSize="9" scale="73" orientation="portrait" horizontalDpi="360" verticalDpi="36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T64"/>
  <sheetViews>
    <sheetView tabSelected="1" topLeftCell="C1" zoomScale="80" zoomScaleNormal="80" workbookViewId="0">
      <selection activeCell="T11" sqref="T11"/>
    </sheetView>
  </sheetViews>
  <sheetFormatPr baseColWidth="10" defaultColWidth="11.42578125" defaultRowHeight="15"/>
  <cols>
    <col min="1" max="1" width="11.42578125" style="6" hidden="1" customWidth="1"/>
    <col min="2" max="2" width="11.42578125" style="1"/>
    <col min="3" max="3" width="68.85546875" style="1" customWidth="1"/>
    <col min="4" max="4" width="11.7109375" style="1" customWidth="1"/>
    <col min="5" max="5" width="12.5703125" style="1" customWidth="1"/>
    <col min="6" max="6" width="18.85546875" style="1" customWidth="1"/>
    <col min="7" max="7" width="20.28515625" style="1" customWidth="1"/>
    <col min="8" max="8" width="11.42578125" style="1"/>
    <col min="9" max="9" width="17.85546875" style="1" hidden="1" customWidth="1"/>
    <col min="10" max="10" width="74.28515625" style="1" hidden="1" customWidth="1"/>
    <col min="11" max="12" width="0" style="1" hidden="1" customWidth="1"/>
    <col min="13" max="13" width="11.42578125" style="1"/>
    <col min="14" max="14" width="18.85546875" style="1" bestFit="1" customWidth="1"/>
    <col min="15" max="15" width="70.7109375" style="1" customWidth="1"/>
    <col min="16" max="17" width="11.42578125" style="1"/>
    <col min="18" max="18" width="18.85546875" style="1" customWidth="1"/>
    <col min="19" max="19" width="21.28515625" style="1" customWidth="1"/>
    <col min="20" max="20" width="19.140625" style="1" customWidth="1"/>
    <col min="21" max="16384" width="11.42578125" style="1"/>
  </cols>
  <sheetData>
    <row r="1" spans="1:19" ht="15.75" thickBot="1"/>
    <row r="2" spans="1:19" ht="15.75">
      <c r="B2" s="1674"/>
      <c r="C2" s="1675"/>
      <c r="D2" s="1680" t="s">
        <v>112</v>
      </c>
      <c r="E2" s="1681"/>
      <c r="F2" s="33"/>
      <c r="G2" s="34"/>
      <c r="N2" s="1674"/>
      <c r="O2" s="1675"/>
      <c r="P2" s="1680" t="s">
        <v>112</v>
      </c>
      <c r="Q2" s="1681"/>
      <c r="R2" s="33"/>
      <c r="S2" s="34"/>
    </row>
    <row r="3" spans="1:19" ht="15" customHeight="1">
      <c r="B3" s="1676"/>
      <c r="C3" s="1677"/>
      <c r="D3" s="1682" t="s">
        <v>113</v>
      </c>
      <c r="E3" s="1685" t="s">
        <v>643</v>
      </c>
      <c r="F3" s="1686"/>
      <c r="G3" s="1687"/>
      <c r="N3" s="1676"/>
      <c r="O3" s="1677"/>
      <c r="P3" s="1682" t="s">
        <v>113</v>
      </c>
      <c r="Q3" s="1685" t="s">
        <v>644</v>
      </c>
      <c r="R3" s="1686"/>
      <c r="S3" s="1687"/>
    </row>
    <row r="4" spans="1:19" ht="15" customHeight="1">
      <c r="B4" s="1676"/>
      <c r="C4" s="1677"/>
      <c r="D4" s="1683"/>
      <c r="E4" s="1688"/>
      <c r="F4" s="1689"/>
      <c r="G4" s="1690"/>
      <c r="N4" s="1676"/>
      <c r="O4" s="1677"/>
      <c r="P4" s="1683"/>
      <c r="Q4" s="1688"/>
      <c r="R4" s="1689"/>
      <c r="S4" s="1690"/>
    </row>
    <row r="5" spans="1:19" ht="37.5" customHeight="1">
      <c r="B5" s="1676"/>
      <c r="C5" s="1677"/>
      <c r="D5" s="1684"/>
      <c r="E5" s="1691"/>
      <c r="F5" s="1692"/>
      <c r="G5" s="1693"/>
      <c r="N5" s="1676"/>
      <c r="O5" s="1677"/>
      <c r="P5" s="1684"/>
      <c r="Q5" s="1691"/>
      <c r="R5" s="1692"/>
      <c r="S5" s="1693"/>
    </row>
    <row r="6" spans="1:19" ht="20.25" customHeight="1">
      <c r="B6" s="1676"/>
      <c r="C6" s="1677"/>
      <c r="D6" s="1694" t="s">
        <v>114</v>
      </c>
      <c r="E6" s="1695"/>
      <c r="F6" s="1695"/>
      <c r="G6" s="35">
        <f>+G56</f>
        <v>0</v>
      </c>
      <c r="N6" s="1676"/>
      <c r="O6" s="1677"/>
      <c r="P6" s="1694" t="s">
        <v>114</v>
      </c>
      <c r="Q6" s="1695"/>
      <c r="R6" s="1695"/>
      <c r="S6" s="35">
        <f>+S52</f>
        <v>0</v>
      </c>
    </row>
    <row r="7" spans="1:19" ht="15.75">
      <c r="B7" s="1676"/>
      <c r="C7" s="1677"/>
      <c r="D7" s="1696" t="s">
        <v>115</v>
      </c>
      <c r="E7" s="1697"/>
      <c r="F7" s="1697"/>
      <c r="G7" s="35">
        <v>0</v>
      </c>
      <c r="N7" s="1676"/>
      <c r="O7" s="1677"/>
      <c r="P7" s="1696" t="s">
        <v>115</v>
      </c>
      <c r="Q7" s="1697"/>
      <c r="R7" s="1697"/>
      <c r="S7" s="35">
        <v>0</v>
      </c>
    </row>
    <row r="8" spans="1:19" ht="15.75">
      <c r="B8" s="1676"/>
      <c r="C8" s="1677"/>
      <c r="D8" s="1696" t="s">
        <v>116</v>
      </c>
      <c r="E8" s="1697"/>
      <c r="F8" s="1697"/>
      <c r="G8" s="36">
        <f>G6</f>
        <v>0</v>
      </c>
      <c r="N8" s="1676"/>
      <c r="O8" s="1677"/>
      <c r="P8" s="1696" t="s">
        <v>116</v>
      </c>
      <c r="Q8" s="1697"/>
      <c r="R8" s="1697"/>
      <c r="S8" s="36">
        <f>S6</f>
        <v>0</v>
      </c>
    </row>
    <row r="9" spans="1:19" ht="15.75">
      <c r="B9" s="1676"/>
      <c r="C9" s="1677"/>
      <c r="D9" s="1696" t="s">
        <v>117</v>
      </c>
      <c r="E9" s="1697"/>
      <c r="F9" s="1697"/>
      <c r="G9" s="1698"/>
      <c r="N9" s="1676"/>
      <c r="O9" s="1677"/>
      <c r="P9" s="1696" t="s">
        <v>117</v>
      </c>
      <c r="Q9" s="1697"/>
      <c r="R9" s="1697"/>
      <c r="S9" s="1698"/>
    </row>
    <row r="10" spans="1:19" ht="16.5" customHeight="1" thickBot="1">
      <c r="B10" s="1678"/>
      <c r="C10" s="1679"/>
      <c r="D10" s="1669" t="s">
        <v>118</v>
      </c>
      <c r="E10" s="1670"/>
      <c r="F10" s="1672" t="s">
        <v>119</v>
      </c>
      <c r="G10" s="1673"/>
      <c r="N10" s="1678"/>
      <c r="O10" s="1679"/>
      <c r="P10" s="1669" t="s">
        <v>118</v>
      </c>
      <c r="Q10" s="1670"/>
      <c r="R10" s="1672" t="s">
        <v>119</v>
      </c>
      <c r="S10" s="1673"/>
    </row>
    <row r="11" spans="1:19" ht="16.5" thickBot="1">
      <c r="B11" s="37"/>
      <c r="C11" s="38"/>
      <c r="D11" s="38"/>
      <c r="E11" s="38"/>
      <c r="F11" s="38"/>
      <c r="G11" s="38"/>
      <c r="N11" s="37"/>
      <c r="O11" s="38"/>
      <c r="P11" s="38"/>
      <c r="Q11" s="38"/>
      <c r="R11" s="38"/>
      <c r="S11" s="38"/>
    </row>
    <row r="12" spans="1:19" ht="15.75">
      <c r="B12" s="1565" t="s">
        <v>72</v>
      </c>
      <c r="C12" s="1566" t="s">
        <v>120</v>
      </c>
      <c r="D12" s="1566" t="s">
        <v>0</v>
      </c>
      <c r="E12" s="1566" t="s">
        <v>1</v>
      </c>
      <c r="F12" s="1566" t="s">
        <v>121</v>
      </c>
      <c r="G12" s="1567" t="s">
        <v>122</v>
      </c>
      <c r="N12" s="1605" t="s">
        <v>72</v>
      </c>
      <c r="O12" s="1606" t="s">
        <v>120</v>
      </c>
      <c r="P12" s="1606" t="s">
        <v>0</v>
      </c>
      <c r="Q12" s="1606" t="s">
        <v>1</v>
      </c>
      <c r="R12" s="1606" t="s">
        <v>121</v>
      </c>
      <c r="S12" s="1607" t="s">
        <v>122</v>
      </c>
    </row>
    <row r="13" spans="1:19" ht="21.95" customHeight="1">
      <c r="A13" s="1494">
        <v>1</v>
      </c>
      <c r="B13" s="1568">
        <v>1</v>
      </c>
      <c r="C13" s="1569" t="s">
        <v>147</v>
      </c>
      <c r="D13" s="1570" t="s">
        <v>447</v>
      </c>
      <c r="E13" s="1571">
        <f>6+6+11</f>
        <v>23</v>
      </c>
      <c r="F13" s="1572">
        <f>+'APUS OCS 130'!F88</f>
        <v>0</v>
      </c>
      <c r="G13" s="1573">
        <f>ROUND((E13*F13),2)</f>
        <v>0</v>
      </c>
      <c r="I13" s="1490">
        <f>F13*E13</f>
        <v>0</v>
      </c>
      <c r="J13" s="967"/>
      <c r="K13" s="968"/>
      <c r="L13" s="969"/>
      <c r="M13" s="969"/>
      <c r="N13" s="1608">
        <v>1</v>
      </c>
      <c r="O13" s="1609" t="s">
        <v>470</v>
      </c>
      <c r="P13" s="1610" t="s">
        <v>447</v>
      </c>
      <c r="Q13" s="1611">
        <f>12+10+10+10</f>
        <v>42</v>
      </c>
      <c r="R13" s="1612">
        <f>+'APUS OCS 130'!F97</f>
        <v>0</v>
      </c>
      <c r="S13" s="1613">
        <f>ROUND((Q13*R13),2)</f>
        <v>0</v>
      </c>
    </row>
    <row r="14" spans="1:19" ht="27.75" customHeight="1">
      <c r="B14" s="1568">
        <v>2</v>
      </c>
      <c r="C14" s="1574" t="s">
        <v>462</v>
      </c>
      <c r="D14" s="1570" t="s">
        <v>43</v>
      </c>
      <c r="E14" s="1571">
        <f>5+6</f>
        <v>11</v>
      </c>
      <c r="F14" s="1572">
        <f>+'APUS OCS 130'!F113</f>
        <v>0</v>
      </c>
      <c r="G14" s="1573">
        <f t="shared" ref="G14:G43" si="0">ROUND((E14*F14),2)</f>
        <v>0</v>
      </c>
      <c r="I14" s="1490">
        <f>R13*Q13</f>
        <v>0</v>
      </c>
      <c r="J14" s="967"/>
      <c r="K14" s="968"/>
      <c r="L14" s="969"/>
      <c r="M14" s="969"/>
      <c r="N14" s="1608">
        <v>2</v>
      </c>
      <c r="O14" s="1614" t="s">
        <v>462</v>
      </c>
      <c r="P14" s="1610" t="s">
        <v>43</v>
      </c>
      <c r="Q14" s="1611">
        <f>10+5</f>
        <v>15</v>
      </c>
      <c r="R14" s="1612">
        <f>+'APUS OCS 130'!F113</f>
        <v>0</v>
      </c>
      <c r="S14" s="1613">
        <f t="shared" ref="S14" si="1">ROUND((Q14*R14),2)</f>
        <v>0</v>
      </c>
    </row>
    <row r="15" spans="1:19" ht="28.5">
      <c r="A15" s="1494">
        <v>7</v>
      </c>
      <c r="B15" s="1568">
        <v>3</v>
      </c>
      <c r="C15" s="1574" t="s">
        <v>463</v>
      </c>
      <c r="D15" s="1570" t="s">
        <v>43</v>
      </c>
      <c r="E15" s="1575">
        <f>3+5</f>
        <v>8</v>
      </c>
      <c r="F15" s="1572">
        <f>+'APUS OCS 130'!F128</f>
        <v>0</v>
      </c>
      <c r="G15" s="1573">
        <f t="shared" si="0"/>
        <v>0</v>
      </c>
      <c r="I15" s="1490">
        <f t="shared" ref="I15:I31" si="2">F14*E14</f>
        <v>0</v>
      </c>
      <c r="J15" s="967"/>
      <c r="K15" s="968"/>
      <c r="L15" s="969"/>
      <c r="M15" s="969"/>
      <c r="N15" s="1608">
        <v>3</v>
      </c>
      <c r="O15" s="1609" t="s">
        <v>443</v>
      </c>
      <c r="P15" s="1610" t="s">
        <v>447</v>
      </c>
      <c r="Q15" s="1615">
        <f>5+2</f>
        <v>7</v>
      </c>
      <c r="R15" s="1612">
        <f>+'APUS OCS 130'!F179</f>
        <v>0</v>
      </c>
      <c r="S15" s="1613">
        <f t="shared" ref="S15" si="3">ROUND((Q15*R15),2)</f>
        <v>0</v>
      </c>
    </row>
    <row r="16" spans="1:19" ht="33.75" customHeight="1">
      <c r="B16" s="1568">
        <v>4</v>
      </c>
      <c r="C16" s="1574" t="s">
        <v>472</v>
      </c>
      <c r="D16" s="1570" t="s">
        <v>43</v>
      </c>
      <c r="E16" s="1575">
        <f>3+6</f>
        <v>9</v>
      </c>
      <c r="F16" s="1572">
        <f>+'APUS OCS 130'!F143</f>
        <v>0</v>
      </c>
      <c r="G16" s="1573">
        <f t="shared" si="0"/>
        <v>0</v>
      </c>
      <c r="I16" s="1490">
        <f t="shared" si="2"/>
        <v>0</v>
      </c>
      <c r="J16" s="967"/>
      <c r="K16" s="968"/>
      <c r="L16" s="969"/>
      <c r="M16" s="969"/>
      <c r="N16" s="1608">
        <v>4</v>
      </c>
      <c r="O16" s="1609" t="s">
        <v>444</v>
      </c>
      <c r="P16" s="1610" t="s">
        <v>447</v>
      </c>
      <c r="Q16" s="1615">
        <v>9</v>
      </c>
      <c r="R16" s="1612">
        <f>+'APUS OCS 130'!F200</f>
        <v>0</v>
      </c>
      <c r="S16" s="1613">
        <f t="shared" ref="S16" si="4">ROUND((Q16*R16),2)</f>
        <v>0</v>
      </c>
    </row>
    <row r="17" spans="1:19" ht="33" customHeight="1">
      <c r="B17" s="1568">
        <v>5</v>
      </c>
      <c r="C17" s="1574" t="s">
        <v>473</v>
      </c>
      <c r="D17" s="1570" t="s">
        <v>43</v>
      </c>
      <c r="E17" s="1575">
        <f>5+5</f>
        <v>10</v>
      </c>
      <c r="F17" s="1572">
        <f>+'APUS OCS 130'!F157</f>
        <v>0</v>
      </c>
      <c r="G17" s="1573">
        <f t="shared" si="0"/>
        <v>0</v>
      </c>
      <c r="I17" s="1490">
        <f t="shared" si="2"/>
        <v>0</v>
      </c>
      <c r="J17" s="967"/>
      <c r="K17" s="968"/>
      <c r="L17" s="969"/>
      <c r="M17" s="969"/>
      <c r="N17" s="1608">
        <v>5</v>
      </c>
      <c r="O17" s="1609" t="s">
        <v>505</v>
      </c>
      <c r="P17" s="1616" t="s">
        <v>43</v>
      </c>
      <c r="Q17" s="1617">
        <v>11</v>
      </c>
      <c r="R17" s="1612">
        <f>+'APUS OCS 130'!F274</f>
        <v>0</v>
      </c>
      <c r="S17" s="1613">
        <f t="shared" ref="S17" si="5">ROUND((Q17*R17),2)</f>
        <v>0</v>
      </c>
    </row>
    <row r="18" spans="1:19" ht="26.25" customHeight="1">
      <c r="B18" s="1568">
        <v>6</v>
      </c>
      <c r="C18" s="1569" t="s">
        <v>443</v>
      </c>
      <c r="D18" s="1570" t="s">
        <v>447</v>
      </c>
      <c r="E18" s="1575">
        <f>25+21+2.5+2.5+5</f>
        <v>56</v>
      </c>
      <c r="F18" s="1572">
        <f>+'APUS OCS 130'!F179</f>
        <v>0</v>
      </c>
      <c r="G18" s="1573">
        <f t="shared" si="0"/>
        <v>0</v>
      </c>
      <c r="I18" s="1490">
        <f t="shared" si="2"/>
        <v>0</v>
      </c>
      <c r="J18" s="967"/>
      <c r="K18" s="968"/>
      <c r="L18" s="969"/>
      <c r="M18" s="969"/>
      <c r="N18" s="1608">
        <v>6</v>
      </c>
      <c r="O18" s="1609" t="s">
        <v>432</v>
      </c>
      <c r="P18" s="1616" t="s">
        <v>43</v>
      </c>
      <c r="Q18" s="1617">
        <v>25</v>
      </c>
      <c r="R18" s="1612">
        <f>+'APUS OCS 130'!F367</f>
        <v>0</v>
      </c>
      <c r="S18" s="1613">
        <f t="shared" ref="S18:S25" si="6">ROUND((Q18*R18),2)</f>
        <v>0</v>
      </c>
    </row>
    <row r="19" spans="1:19" ht="26.25" customHeight="1">
      <c r="A19" s="1671">
        <v>21</v>
      </c>
      <c r="B19" s="1568">
        <v>7</v>
      </c>
      <c r="C19" s="1569" t="s">
        <v>444</v>
      </c>
      <c r="D19" s="1570" t="s">
        <v>447</v>
      </c>
      <c r="E19" s="1575">
        <f>6+15+5+50+12+15+6+1+5+2</f>
        <v>117</v>
      </c>
      <c r="F19" s="1572">
        <f>+'APUS OCS 130'!F200</f>
        <v>0</v>
      </c>
      <c r="G19" s="1573">
        <f t="shared" si="0"/>
        <v>0</v>
      </c>
      <c r="I19" s="1490">
        <f t="shared" si="2"/>
        <v>0</v>
      </c>
      <c r="J19" s="967"/>
      <c r="K19" s="968"/>
      <c r="L19" s="970"/>
      <c r="M19" s="970"/>
      <c r="N19" s="1608">
        <v>7</v>
      </c>
      <c r="O19" s="1609" t="s">
        <v>559</v>
      </c>
      <c r="P19" s="1616" t="s">
        <v>43</v>
      </c>
      <c r="Q19" s="1617">
        <v>7</v>
      </c>
      <c r="R19" s="1612">
        <f>+'APUS OCS 130'!F382</f>
        <v>0</v>
      </c>
      <c r="S19" s="1613">
        <f t="shared" si="6"/>
        <v>0</v>
      </c>
    </row>
    <row r="20" spans="1:19" s="777" customFormat="1" ht="26.25" customHeight="1">
      <c r="A20" s="1671"/>
      <c r="B20" s="1568">
        <v>8</v>
      </c>
      <c r="C20" s="1569" t="s">
        <v>469</v>
      </c>
      <c r="D20" s="1570" t="s">
        <v>447</v>
      </c>
      <c r="E20" s="1576">
        <v>5</v>
      </c>
      <c r="F20" s="1572">
        <f>+'APUS OCS 130'!F222</f>
        <v>0</v>
      </c>
      <c r="G20" s="1573">
        <f t="shared" si="0"/>
        <v>0</v>
      </c>
      <c r="I20" s="1490">
        <f t="shared" si="2"/>
        <v>0</v>
      </c>
      <c r="J20" s="967"/>
      <c r="K20" s="968"/>
      <c r="L20" s="970"/>
      <c r="M20" s="970"/>
      <c r="N20" s="1608">
        <v>8</v>
      </c>
      <c r="O20" s="1609" t="s">
        <v>439</v>
      </c>
      <c r="P20" s="1616" t="s">
        <v>43</v>
      </c>
      <c r="Q20" s="1617">
        <v>11</v>
      </c>
      <c r="R20" s="1612">
        <f>+'APUS OCS 130'!F397</f>
        <v>0</v>
      </c>
      <c r="S20" s="1613">
        <f t="shared" si="6"/>
        <v>0</v>
      </c>
    </row>
    <row r="21" spans="1:19" s="777" customFormat="1" ht="29.25" customHeight="1">
      <c r="A21" s="1495"/>
      <c r="B21" s="1568">
        <v>9</v>
      </c>
      <c r="C21" s="1569" t="s">
        <v>500</v>
      </c>
      <c r="D21" s="1577" t="s">
        <v>43</v>
      </c>
      <c r="E21" s="1576">
        <v>6</v>
      </c>
      <c r="F21" s="1572">
        <f>+'APUS OCS 130'!F254</f>
        <v>0</v>
      </c>
      <c r="G21" s="1573">
        <f t="shared" si="0"/>
        <v>0</v>
      </c>
      <c r="I21" s="1490">
        <f t="shared" si="2"/>
        <v>0</v>
      </c>
      <c r="J21" s="967"/>
      <c r="K21" s="968"/>
      <c r="L21" s="970"/>
      <c r="M21" s="970"/>
      <c r="N21" s="1608">
        <v>9</v>
      </c>
      <c r="O21" s="1609" t="s">
        <v>436</v>
      </c>
      <c r="P21" s="1616" t="s">
        <v>43</v>
      </c>
      <c r="Q21" s="1617">
        <v>10</v>
      </c>
      <c r="R21" s="1612">
        <f>+'APUS OCS 130'!F412</f>
        <v>0</v>
      </c>
      <c r="S21" s="1613">
        <f t="shared" si="6"/>
        <v>0</v>
      </c>
    </row>
    <row r="22" spans="1:19" s="777" customFormat="1" ht="29.25" customHeight="1">
      <c r="A22" s="1495"/>
      <c r="B22" s="1568">
        <v>10</v>
      </c>
      <c r="C22" s="1569" t="s">
        <v>505</v>
      </c>
      <c r="D22" s="1577" t="s">
        <v>43</v>
      </c>
      <c r="E22" s="1576">
        <v>3</v>
      </c>
      <c r="F22" s="1572">
        <f>+'APUS OCS 130'!F274</f>
        <v>0</v>
      </c>
      <c r="G22" s="1573">
        <f t="shared" si="0"/>
        <v>0</v>
      </c>
      <c r="I22" s="1490">
        <f t="shared" si="2"/>
        <v>0</v>
      </c>
      <c r="J22" s="967"/>
      <c r="K22" s="968"/>
      <c r="L22" s="970"/>
      <c r="M22" s="970"/>
      <c r="N22" s="1608">
        <v>10</v>
      </c>
      <c r="O22" s="1609" t="s">
        <v>561</v>
      </c>
      <c r="P22" s="1616" t="s">
        <v>43</v>
      </c>
      <c r="Q22" s="1617">
        <v>12</v>
      </c>
      <c r="R22" s="1612">
        <f>+'APUS OCS 130'!F428</f>
        <v>0</v>
      </c>
      <c r="S22" s="1613">
        <f t="shared" si="6"/>
        <v>0</v>
      </c>
    </row>
    <row r="23" spans="1:19" s="777" customFormat="1" ht="27.75" customHeight="1">
      <c r="A23" s="1495"/>
      <c r="B23" s="1568">
        <v>11</v>
      </c>
      <c r="C23" s="1569" t="s">
        <v>533</v>
      </c>
      <c r="D23" s="1577" t="s">
        <v>43</v>
      </c>
      <c r="E23" s="1576">
        <v>3</v>
      </c>
      <c r="F23" s="1572">
        <f>+'APUS OCS 130'!F315</f>
        <v>0</v>
      </c>
      <c r="G23" s="1573">
        <f t="shared" si="0"/>
        <v>0</v>
      </c>
      <c r="I23" s="1490">
        <f t="shared" si="2"/>
        <v>0</v>
      </c>
      <c r="J23" s="967"/>
      <c r="K23" s="968"/>
      <c r="L23" s="970"/>
      <c r="M23" s="970"/>
      <c r="N23" s="1608">
        <v>11</v>
      </c>
      <c r="O23" s="1609" t="s">
        <v>560</v>
      </c>
      <c r="P23" s="1616" t="s">
        <v>43</v>
      </c>
      <c r="Q23" s="1617">
        <v>2</v>
      </c>
      <c r="R23" s="1612">
        <f>+'APUS OCS 130'!F444</f>
        <v>0</v>
      </c>
      <c r="S23" s="1613">
        <f t="shared" si="6"/>
        <v>0</v>
      </c>
    </row>
    <row r="24" spans="1:19" s="777" customFormat="1" ht="29.25" customHeight="1">
      <c r="A24" s="1495"/>
      <c r="B24" s="1568">
        <v>12</v>
      </c>
      <c r="C24" s="1569" t="s">
        <v>558</v>
      </c>
      <c r="D24" s="1577" t="s">
        <v>43</v>
      </c>
      <c r="E24" s="1576">
        <v>1</v>
      </c>
      <c r="F24" s="1572">
        <f>+'APUS OCS 130'!F351</f>
        <v>0</v>
      </c>
      <c r="G24" s="1573">
        <f t="shared" si="0"/>
        <v>0</v>
      </c>
      <c r="I24" s="1490">
        <f t="shared" si="2"/>
        <v>0</v>
      </c>
      <c r="J24" s="967"/>
      <c r="K24" s="968"/>
      <c r="L24" s="970"/>
      <c r="M24" s="970"/>
      <c r="N24" s="1608">
        <v>12</v>
      </c>
      <c r="O24" s="1614" t="s">
        <v>610</v>
      </c>
      <c r="P24" s="1610" t="s">
        <v>43</v>
      </c>
      <c r="Q24" s="1615">
        <v>1</v>
      </c>
      <c r="R24" s="1612">
        <f>+'APUS OCS 130'!F726</f>
        <v>0</v>
      </c>
      <c r="S24" s="1613">
        <f t="shared" si="6"/>
        <v>0</v>
      </c>
    </row>
    <row r="25" spans="1:19" s="777" customFormat="1" ht="23.25" customHeight="1">
      <c r="A25" s="1495"/>
      <c r="B25" s="1568">
        <v>13</v>
      </c>
      <c r="C25" s="1569" t="s">
        <v>432</v>
      </c>
      <c r="D25" s="1577" t="s">
        <v>43</v>
      </c>
      <c r="E25" s="1576">
        <f>20</f>
        <v>20</v>
      </c>
      <c r="F25" s="1572">
        <f>+'APUS OCS 130'!F367</f>
        <v>0</v>
      </c>
      <c r="G25" s="1573">
        <f t="shared" si="0"/>
        <v>0</v>
      </c>
      <c r="I25" s="1490">
        <f t="shared" si="2"/>
        <v>0</v>
      </c>
      <c r="J25" s="967"/>
      <c r="K25" s="968"/>
      <c r="L25" s="970"/>
      <c r="M25" s="970"/>
      <c r="N25" s="1608">
        <v>13</v>
      </c>
      <c r="O25" s="1614" t="s">
        <v>611</v>
      </c>
      <c r="P25" s="1610" t="s">
        <v>43</v>
      </c>
      <c r="Q25" s="1615">
        <v>2</v>
      </c>
      <c r="R25" s="1612">
        <f>+'APUS OCS 130'!F742</f>
        <v>0</v>
      </c>
      <c r="S25" s="1613">
        <f t="shared" si="6"/>
        <v>0</v>
      </c>
    </row>
    <row r="26" spans="1:19" s="777" customFormat="1" ht="23.25" customHeight="1">
      <c r="A26" s="1494">
        <v>13</v>
      </c>
      <c r="B26" s="1568">
        <v>14</v>
      </c>
      <c r="C26" s="1569" t="s">
        <v>559</v>
      </c>
      <c r="D26" s="1577" t="s">
        <v>43</v>
      </c>
      <c r="E26" s="1576">
        <f>12</f>
        <v>12</v>
      </c>
      <c r="F26" s="1572">
        <f>+'APUS OCS 130'!F382</f>
        <v>0</v>
      </c>
      <c r="G26" s="1573">
        <f t="shared" si="0"/>
        <v>0</v>
      </c>
      <c r="I26" s="1490">
        <f t="shared" si="2"/>
        <v>0</v>
      </c>
      <c r="J26" s="967"/>
      <c r="K26" s="968"/>
      <c r="L26" s="970"/>
      <c r="M26" s="970"/>
      <c r="N26" s="1608">
        <v>14</v>
      </c>
      <c r="O26" s="1609" t="s">
        <v>133</v>
      </c>
      <c r="P26" s="1610" t="s">
        <v>22</v>
      </c>
      <c r="Q26" s="1615">
        <v>10</v>
      </c>
      <c r="R26" s="1612">
        <f>+'APUS OCS 130'!G630</f>
        <v>0</v>
      </c>
      <c r="S26" s="1613">
        <f t="shared" ref="S26:S32" si="7">ROUND((Q26*R26),2)</f>
        <v>0</v>
      </c>
    </row>
    <row r="27" spans="1:19" s="777" customFormat="1" ht="25.5" customHeight="1">
      <c r="A27" s="1494">
        <v>14</v>
      </c>
      <c r="B27" s="1568">
        <v>15</v>
      </c>
      <c r="C27" s="1569" t="s">
        <v>439</v>
      </c>
      <c r="D27" s="1577" t="s">
        <v>43</v>
      </c>
      <c r="E27" s="1576">
        <f>12</f>
        <v>12</v>
      </c>
      <c r="F27" s="1572">
        <f>+'APUS OCS 130'!F397</f>
        <v>0</v>
      </c>
      <c r="G27" s="1573">
        <f t="shared" si="0"/>
        <v>0</v>
      </c>
      <c r="I27" s="1490">
        <f t="shared" si="2"/>
        <v>0</v>
      </c>
      <c r="J27" s="967"/>
      <c r="K27" s="968"/>
      <c r="L27" s="970"/>
      <c r="M27" s="970"/>
      <c r="N27" s="1608">
        <v>15</v>
      </c>
      <c r="O27" s="1609" t="s">
        <v>142</v>
      </c>
      <c r="P27" s="1610" t="s">
        <v>22</v>
      </c>
      <c r="Q27" s="1615">
        <v>10</v>
      </c>
      <c r="R27" s="1612">
        <f>+'APUS OCS 130'!G640</f>
        <v>0</v>
      </c>
      <c r="S27" s="1613">
        <f t="shared" si="7"/>
        <v>0</v>
      </c>
    </row>
    <row r="28" spans="1:19" s="777" customFormat="1" ht="23.25" customHeight="1">
      <c r="A28" s="1494">
        <v>15</v>
      </c>
      <c r="B28" s="1568">
        <v>16</v>
      </c>
      <c r="C28" s="1569" t="s">
        <v>436</v>
      </c>
      <c r="D28" s="1577" t="s">
        <v>43</v>
      </c>
      <c r="E28" s="1576">
        <f>9</f>
        <v>9</v>
      </c>
      <c r="F28" s="1572">
        <f>+'APUS OCS 130'!F412</f>
        <v>0</v>
      </c>
      <c r="G28" s="1573">
        <f t="shared" si="0"/>
        <v>0</v>
      </c>
      <c r="I28" s="1490">
        <f t="shared" si="2"/>
        <v>0</v>
      </c>
      <c r="J28" s="967"/>
      <c r="K28" s="968"/>
      <c r="L28" s="970"/>
      <c r="M28" s="970"/>
      <c r="N28" s="1608">
        <v>16</v>
      </c>
      <c r="O28" s="1614" t="s">
        <v>445</v>
      </c>
      <c r="P28" s="1610" t="s">
        <v>80</v>
      </c>
      <c r="Q28" s="1615">
        <v>40</v>
      </c>
      <c r="R28" s="1612">
        <f>+'APUS OCS 130'!G484</f>
        <v>0</v>
      </c>
      <c r="S28" s="1613">
        <f t="shared" si="7"/>
        <v>0</v>
      </c>
    </row>
    <row r="29" spans="1:19" s="777" customFormat="1" ht="27.75" customHeight="1">
      <c r="A29" s="1494">
        <v>16</v>
      </c>
      <c r="B29" s="1568">
        <v>17</v>
      </c>
      <c r="C29" s="1569" t="s">
        <v>561</v>
      </c>
      <c r="D29" s="1577" t="s">
        <v>43</v>
      </c>
      <c r="E29" s="1576">
        <f>22</f>
        <v>22</v>
      </c>
      <c r="F29" s="1572">
        <f>+'APUS OCS 130'!F428</f>
        <v>0</v>
      </c>
      <c r="G29" s="1573">
        <f t="shared" si="0"/>
        <v>0</v>
      </c>
      <c r="I29" s="1490">
        <f t="shared" si="2"/>
        <v>0</v>
      </c>
      <c r="J29" s="967"/>
      <c r="K29" s="968"/>
      <c r="L29" s="970"/>
      <c r="M29" s="970"/>
      <c r="N29" s="1608">
        <v>17</v>
      </c>
      <c r="O29" s="1614" t="s">
        <v>568</v>
      </c>
      <c r="P29" s="1618" t="s">
        <v>447</v>
      </c>
      <c r="Q29" s="1618">
        <f>60+40+10+24+40.6+24+10</f>
        <v>208.6</v>
      </c>
      <c r="R29" s="1612">
        <f>+'APUS OCS 130'!F506</f>
        <v>0</v>
      </c>
      <c r="S29" s="1613">
        <f t="shared" si="7"/>
        <v>0</v>
      </c>
    </row>
    <row r="30" spans="1:19" s="777" customFormat="1" ht="28.5" customHeight="1">
      <c r="A30" s="1494">
        <v>17</v>
      </c>
      <c r="B30" s="1568">
        <v>18</v>
      </c>
      <c r="C30" s="1569" t="s">
        <v>560</v>
      </c>
      <c r="D30" s="1577" t="s">
        <v>43</v>
      </c>
      <c r="E30" s="1576">
        <f>15</f>
        <v>15</v>
      </c>
      <c r="F30" s="1572">
        <f>+'APUS OCS 130'!F444</f>
        <v>0</v>
      </c>
      <c r="G30" s="1573">
        <f t="shared" si="0"/>
        <v>0</v>
      </c>
      <c r="I30" s="1490">
        <f t="shared" si="2"/>
        <v>0</v>
      </c>
      <c r="J30" s="967"/>
      <c r="K30" s="968"/>
      <c r="L30" s="970"/>
      <c r="M30" s="970"/>
      <c r="N30" s="1608">
        <v>18</v>
      </c>
      <c r="O30" s="1609" t="s">
        <v>450</v>
      </c>
      <c r="P30" s="1610" t="s">
        <v>31</v>
      </c>
      <c r="Q30" s="1619">
        <v>2</v>
      </c>
      <c r="R30" s="1612">
        <f>+'APUS OCS 130'!F520</f>
        <v>0</v>
      </c>
      <c r="S30" s="1613">
        <f t="shared" si="7"/>
        <v>0</v>
      </c>
    </row>
    <row r="31" spans="1:19" s="777" customFormat="1" ht="27.75" customHeight="1">
      <c r="A31" s="1494">
        <v>18</v>
      </c>
      <c r="B31" s="1568">
        <v>19</v>
      </c>
      <c r="C31" s="1574" t="s">
        <v>164</v>
      </c>
      <c r="D31" s="1577" t="s">
        <v>43</v>
      </c>
      <c r="E31" s="1576">
        <v>5</v>
      </c>
      <c r="F31" s="1572">
        <f>+'APUS OCS 130'!G458</f>
        <v>0</v>
      </c>
      <c r="G31" s="1573">
        <f t="shared" si="0"/>
        <v>0</v>
      </c>
      <c r="I31" s="1490">
        <f t="shared" si="2"/>
        <v>0</v>
      </c>
      <c r="J31" s="967"/>
      <c r="K31" s="968"/>
      <c r="L31" s="970"/>
      <c r="M31" s="970"/>
      <c r="N31" s="1608">
        <v>19</v>
      </c>
      <c r="O31" s="1614" t="s">
        <v>451</v>
      </c>
      <c r="P31" s="1610" t="s">
        <v>43</v>
      </c>
      <c r="Q31" s="1615">
        <v>1</v>
      </c>
      <c r="R31" s="1612">
        <f>+'APUS OCS 130'!F538</f>
        <v>0</v>
      </c>
      <c r="S31" s="1613">
        <f t="shared" si="7"/>
        <v>0</v>
      </c>
    </row>
    <row r="32" spans="1:19" s="777" customFormat="1" ht="27.75" customHeight="1">
      <c r="A32" s="1494"/>
      <c r="B32" s="1568">
        <v>20</v>
      </c>
      <c r="C32" s="1574" t="s">
        <v>445</v>
      </c>
      <c r="D32" s="1570" t="s">
        <v>80</v>
      </c>
      <c r="E32" s="1575">
        <f>640+32-18</f>
        <v>654</v>
      </c>
      <c r="F32" s="1572">
        <f>+'APUS OCS 130'!G484</f>
        <v>0</v>
      </c>
      <c r="G32" s="1573">
        <f>ROUND((E32*F32),2)</f>
        <v>0</v>
      </c>
      <c r="I32" s="1490"/>
      <c r="J32" s="967"/>
      <c r="K32" s="968"/>
      <c r="L32" s="970"/>
      <c r="M32" s="970"/>
      <c r="N32" s="1608">
        <v>20</v>
      </c>
      <c r="O32" s="1609" t="s">
        <v>453</v>
      </c>
      <c r="P32" s="1610" t="s">
        <v>22</v>
      </c>
      <c r="Q32" s="1615">
        <v>5</v>
      </c>
      <c r="R32" s="1612">
        <f>+'APUS OCS 130'!G550</f>
        <v>0</v>
      </c>
      <c r="S32" s="1613">
        <f t="shared" si="7"/>
        <v>0</v>
      </c>
    </row>
    <row r="33" spans="1:20" s="777" customFormat="1" ht="27.75" customHeight="1">
      <c r="A33" s="1494"/>
      <c r="B33" s="1568">
        <v>21</v>
      </c>
      <c r="C33" s="1574" t="s">
        <v>568</v>
      </c>
      <c r="D33" s="1578" t="s">
        <v>447</v>
      </c>
      <c r="E33" s="1578">
        <f>74.6+110+5.4-174.6</f>
        <v>15.400000000000006</v>
      </c>
      <c r="F33" s="1572">
        <f>+'APUS OCS 130'!F506</f>
        <v>0</v>
      </c>
      <c r="G33" s="1573">
        <f>ROUND((E33*F33),2)</f>
        <v>0</v>
      </c>
      <c r="I33" s="1490"/>
      <c r="J33" s="967"/>
      <c r="K33" s="968"/>
      <c r="L33" s="970"/>
      <c r="M33" s="970"/>
      <c r="N33" s="1608">
        <v>21</v>
      </c>
      <c r="O33" s="1614" t="s">
        <v>457</v>
      </c>
      <c r="P33" s="1610" t="s">
        <v>22</v>
      </c>
      <c r="Q33" s="1615">
        <f>(2*1.2)</f>
        <v>2.4</v>
      </c>
      <c r="R33" s="1612">
        <f>+'APUS OCS 130'!F566</f>
        <v>0</v>
      </c>
      <c r="S33" s="1613">
        <f t="shared" ref="S33" si="8">ROUND((Q33*R33),2)</f>
        <v>0</v>
      </c>
    </row>
    <row r="34" spans="1:20" s="777" customFormat="1" ht="25.5" customHeight="1">
      <c r="A34" s="1495"/>
      <c r="B34" s="1568">
        <v>22</v>
      </c>
      <c r="C34" s="1569" t="s">
        <v>450</v>
      </c>
      <c r="D34" s="1570" t="s">
        <v>31</v>
      </c>
      <c r="E34" s="1579">
        <v>2</v>
      </c>
      <c r="F34" s="1572">
        <f>+'APUS OCS 130'!F520</f>
        <v>0</v>
      </c>
      <c r="G34" s="1573">
        <f>ROUND((E34*F34),2)</f>
        <v>0</v>
      </c>
      <c r="I34" s="1490">
        <f>F31*E31</f>
        <v>0</v>
      </c>
      <c r="J34" s="967"/>
      <c r="K34" s="968"/>
      <c r="L34" s="969"/>
      <c r="M34" s="969"/>
      <c r="N34" s="1608">
        <v>22</v>
      </c>
      <c r="O34" s="1609" t="s">
        <v>585</v>
      </c>
      <c r="P34" s="1610" t="s">
        <v>22</v>
      </c>
      <c r="Q34" s="1615">
        <v>9</v>
      </c>
      <c r="R34" s="1612">
        <f>+'APUS OCS 130'!F622</f>
        <v>0</v>
      </c>
      <c r="S34" s="1620">
        <f t="shared" ref="S34:S47" si="9">ROUND((Q34*R34),2)</f>
        <v>0</v>
      </c>
    </row>
    <row r="35" spans="1:20" ht="21" customHeight="1">
      <c r="B35" s="1568">
        <v>23</v>
      </c>
      <c r="C35" s="1574" t="s">
        <v>451</v>
      </c>
      <c r="D35" s="1570" t="s">
        <v>43</v>
      </c>
      <c r="E35" s="1575">
        <v>1</v>
      </c>
      <c r="F35" s="1572">
        <f>+'APUS OCS 130'!F538</f>
        <v>0</v>
      </c>
      <c r="G35" s="1573">
        <f>ROUND((E35*F35),2)</f>
        <v>0</v>
      </c>
      <c r="I35" s="1490">
        <f>R26*Q26</f>
        <v>0</v>
      </c>
      <c r="J35" s="971"/>
      <c r="K35" s="968"/>
      <c r="L35" s="970"/>
      <c r="M35" s="970"/>
      <c r="N35" s="1608">
        <v>23</v>
      </c>
      <c r="O35" s="1614" t="s">
        <v>205</v>
      </c>
      <c r="P35" s="1610" t="s">
        <v>588</v>
      </c>
      <c r="Q35" s="1615">
        <v>1</v>
      </c>
      <c r="R35" s="1612">
        <f>+'APUS OCS 130'!F652</f>
        <v>0</v>
      </c>
      <c r="S35" s="1620">
        <f t="shared" si="9"/>
        <v>0</v>
      </c>
    </row>
    <row r="36" spans="1:20" ht="29.25" customHeight="1">
      <c r="B36" s="1568">
        <v>24</v>
      </c>
      <c r="C36" s="1574" t="s">
        <v>457</v>
      </c>
      <c r="D36" s="1570" t="s">
        <v>22</v>
      </c>
      <c r="E36" s="1575">
        <f>((1.9*1.6)*6)</f>
        <v>18.240000000000002</v>
      </c>
      <c r="F36" s="1572">
        <f>+'APUS OCS 130'!F566</f>
        <v>0</v>
      </c>
      <c r="G36" s="1573">
        <f t="shared" si="0"/>
        <v>0</v>
      </c>
      <c r="I36" s="1490">
        <f>R27*Q27</f>
        <v>0</v>
      </c>
      <c r="J36" s="971"/>
      <c r="K36" s="968"/>
      <c r="L36" s="970"/>
      <c r="M36" s="970"/>
      <c r="N36" s="1608">
        <v>24</v>
      </c>
      <c r="O36" s="1614" t="s">
        <v>589</v>
      </c>
      <c r="P36" s="1610" t="s">
        <v>43</v>
      </c>
      <c r="Q36" s="1615">
        <v>4</v>
      </c>
      <c r="R36" s="1612">
        <f>+'APUS OCS 130'!F665</f>
        <v>0</v>
      </c>
      <c r="S36" s="1620">
        <f t="shared" si="9"/>
        <v>0</v>
      </c>
    </row>
    <row r="37" spans="1:20" ht="26.25" customHeight="1">
      <c r="A37" s="1494">
        <v>23</v>
      </c>
      <c r="B37" s="1568">
        <v>25</v>
      </c>
      <c r="C37" s="1574" t="s">
        <v>571</v>
      </c>
      <c r="D37" s="1570" t="s">
        <v>43</v>
      </c>
      <c r="E37" s="1575">
        <f>4+5+ 41</f>
        <v>50</v>
      </c>
      <c r="F37" s="1572">
        <f>+'APUS OCS 130'!F574</f>
        <v>0</v>
      </c>
      <c r="G37" s="1573">
        <f t="shared" si="0"/>
        <v>0</v>
      </c>
      <c r="I37" s="1490">
        <f>F32*E32</f>
        <v>0</v>
      </c>
      <c r="J37" s="971"/>
      <c r="K37" s="968"/>
      <c r="L37" s="970"/>
      <c r="M37" s="970"/>
      <c r="N37" s="1608">
        <v>25</v>
      </c>
      <c r="O37" s="1614" t="s">
        <v>590</v>
      </c>
      <c r="P37" s="1610" t="s">
        <v>43</v>
      </c>
      <c r="Q37" s="1615">
        <v>1</v>
      </c>
      <c r="R37" s="1612">
        <f>+'APUS OCS 130'!F692</f>
        <v>0</v>
      </c>
      <c r="S37" s="1620">
        <f t="shared" si="9"/>
        <v>0</v>
      </c>
    </row>
    <row r="38" spans="1:20" ht="18.600000000000001" customHeight="1">
      <c r="A38" s="1494">
        <v>22</v>
      </c>
      <c r="B38" s="1568">
        <v>26</v>
      </c>
      <c r="C38" s="1574" t="s">
        <v>170</v>
      </c>
      <c r="D38" s="1570" t="s">
        <v>40</v>
      </c>
      <c r="E38" s="1575">
        <v>6</v>
      </c>
      <c r="F38" s="1572">
        <f>+'APUS OCS 130'!G583</f>
        <v>0</v>
      </c>
      <c r="G38" s="1573">
        <f t="shared" si="0"/>
        <v>0</v>
      </c>
      <c r="I38" s="1490">
        <f>F33*E33</f>
        <v>0</v>
      </c>
      <c r="J38" s="971"/>
      <c r="K38" s="968"/>
      <c r="L38" s="970"/>
      <c r="M38" s="970"/>
      <c r="N38" s="1608">
        <v>26</v>
      </c>
      <c r="O38" s="1614" t="s">
        <v>627</v>
      </c>
      <c r="P38" s="1610" t="s">
        <v>43</v>
      </c>
      <c r="Q38" s="1615">
        <v>5</v>
      </c>
      <c r="R38" s="1612">
        <f>+'APUS OCS 130'!F757</f>
        <v>0</v>
      </c>
      <c r="S38" s="1620">
        <f t="shared" si="9"/>
        <v>0</v>
      </c>
    </row>
    <row r="39" spans="1:20" ht="28.5" customHeight="1">
      <c r="B39" s="1568">
        <v>27</v>
      </c>
      <c r="C39" s="1574" t="s">
        <v>150</v>
      </c>
      <c r="D39" s="1570" t="s">
        <v>40</v>
      </c>
      <c r="E39" s="1575">
        <v>40</v>
      </c>
      <c r="F39" s="1572">
        <f>+'APUS OCS 130'!O332</f>
        <v>0</v>
      </c>
      <c r="G39" s="1573">
        <f t="shared" si="0"/>
        <v>0</v>
      </c>
      <c r="I39" s="1490">
        <f>F34*E34</f>
        <v>0</v>
      </c>
      <c r="J39" s="971"/>
      <c r="K39" s="968"/>
      <c r="L39" s="970"/>
      <c r="M39" s="970"/>
      <c r="N39" s="1608">
        <v>27</v>
      </c>
      <c r="O39" s="1614" t="s">
        <v>628</v>
      </c>
      <c r="P39" s="1610" t="s">
        <v>43</v>
      </c>
      <c r="Q39" s="1615">
        <v>5</v>
      </c>
      <c r="R39" s="1612">
        <f>+'APUS OCS 130'!F773</f>
        <v>0</v>
      </c>
      <c r="S39" s="1620">
        <f t="shared" si="9"/>
        <v>0</v>
      </c>
    </row>
    <row r="40" spans="1:20" ht="29.25" customHeight="1">
      <c r="A40" s="1494">
        <v>11</v>
      </c>
      <c r="B40" s="1568">
        <v>28</v>
      </c>
      <c r="C40" s="1574" t="s">
        <v>576</v>
      </c>
      <c r="D40" s="1570" t="s">
        <v>40</v>
      </c>
      <c r="E40" s="1575">
        <f>3*1.7*0.22</f>
        <v>1.1219999999999999</v>
      </c>
      <c r="F40" s="1572">
        <f>+'APUS OCS 130'!G601</f>
        <v>0</v>
      </c>
      <c r="G40" s="1573">
        <f t="shared" si="0"/>
        <v>0</v>
      </c>
      <c r="I40" s="1490">
        <f>R31*Q31</f>
        <v>0</v>
      </c>
      <c r="J40" s="971"/>
      <c r="K40" s="968"/>
      <c r="L40" s="970"/>
      <c r="M40" s="970"/>
      <c r="N40" s="1608">
        <v>28</v>
      </c>
      <c r="O40" s="1614" t="s">
        <v>629</v>
      </c>
      <c r="P40" s="1610" t="s">
        <v>43</v>
      </c>
      <c r="Q40" s="1615">
        <v>5</v>
      </c>
      <c r="R40" s="1612">
        <f>+'APUS OCS 130'!F789</f>
        <v>0</v>
      </c>
      <c r="S40" s="1620">
        <f t="shared" si="9"/>
        <v>0</v>
      </c>
    </row>
    <row r="41" spans="1:20" ht="36" customHeight="1">
      <c r="B41" s="1568">
        <v>29</v>
      </c>
      <c r="C41" s="1580" t="s">
        <v>582</v>
      </c>
      <c r="D41" s="1577" t="s">
        <v>40</v>
      </c>
      <c r="E41" s="1581">
        <v>2</v>
      </c>
      <c r="F41" s="1572">
        <f>+'APUS OCS 130'!F615</f>
        <v>0</v>
      </c>
      <c r="G41" s="1582">
        <f t="shared" si="0"/>
        <v>0</v>
      </c>
      <c r="I41" s="1490">
        <f>R32*Q32</f>
        <v>0</v>
      </c>
      <c r="J41" s="971"/>
      <c r="K41" s="968"/>
      <c r="L41" s="970"/>
      <c r="M41" s="970"/>
      <c r="N41" s="1608">
        <v>29</v>
      </c>
      <c r="O41" s="1614" t="s">
        <v>630</v>
      </c>
      <c r="P41" s="1610" t="s">
        <v>43</v>
      </c>
      <c r="Q41" s="1615">
        <v>5</v>
      </c>
      <c r="R41" s="1612">
        <f>+'APUS OCS 130'!F800</f>
        <v>0</v>
      </c>
      <c r="S41" s="1620">
        <f t="shared" si="9"/>
        <v>0</v>
      </c>
    </row>
    <row r="42" spans="1:20" ht="30.95" customHeight="1">
      <c r="A42" s="1494">
        <v>4</v>
      </c>
      <c r="B42" s="1568">
        <v>30</v>
      </c>
      <c r="C42" s="1569" t="s">
        <v>133</v>
      </c>
      <c r="D42" s="1570" t="s">
        <v>22</v>
      </c>
      <c r="E42" s="1575">
        <v>10</v>
      </c>
      <c r="F42" s="1572">
        <f>+'APUS OCS 130'!G630</f>
        <v>0</v>
      </c>
      <c r="G42" s="1582">
        <f t="shared" si="0"/>
        <v>0</v>
      </c>
      <c r="I42" s="1490">
        <f>F36*E36</f>
        <v>0</v>
      </c>
      <c r="J42" s="971"/>
      <c r="K42" s="968"/>
      <c r="L42" s="970"/>
      <c r="M42" s="970"/>
      <c r="N42" s="1608">
        <v>30</v>
      </c>
      <c r="O42" s="1614" t="s">
        <v>364</v>
      </c>
      <c r="P42" s="1610" t="s">
        <v>393</v>
      </c>
      <c r="Q42" s="1615">
        <v>3</v>
      </c>
      <c r="R42" s="1612">
        <v>0</v>
      </c>
      <c r="S42" s="1613">
        <f t="shared" si="9"/>
        <v>0</v>
      </c>
    </row>
    <row r="43" spans="1:20" ht="26.25" customHeight="1">
      <c r="B43" s="1568">
        <v>31</v>
      </c>
      <c r="C43" s="1569" t="s">
        <v>142</v>
      </c>
      <c r="D43" s="1570" t="s">
        <v>22</v>
      </c>
      <c r="E43" s="1575">
        <v>10</v>
      </c>
      <c r="F43" s="1572">
        <f>+'APUS OCS 130'!G640</f>
        <v>0</v>
      </c>
      <c r="G43" s="1582">
        <f t="shared" si="0"/>
        <v>0</v>
      </c>
      <c r="I43" s="1490">
        <f>F37*E37</f>
        <v>0</v>
      </c>
      <c r="J43" s="964" t="s">
        <v>446</v>
      </c>
      <c r="K43" s="965" t="s">
        <v>365</v>
      </c>
      <c r="L43" s="966">
        <v>2</v>
      </c>
      <c r="M43" s="1560"/>
      <c r="N43" s="1608">
        <v>31</v>
      </c>
      <c r="O43" s="1614" t="s">
        <v>366</v>
      </c>
      <c r="P43" s="1610" t="s">
        <v>393</v>
      </c>
      <c r="Q43" s="1615">
        <v>3</v>
      </c>
      <c r="R43" s="1612">
        <v>0</v>
      </c>
      <c r="S43" s="1613">
        <f t="shared" si="9"/>
        <v>0</v>
      </c>
    </row>
    <row r="44" spans="1:20" ht="24.6" customHeight="1" thickBot="1">
      <c r="B44" s="1568">
        <v>32</v>
      </c>
      <c r="C44" s="1574" t="s">
        <v>608</v>
      </c>
      <c r="D44" s="1570" t="s">
        <v>43</v>
      </c>
      <c r="E44" s="1575">
        <v>2</v>
      </c>
      <c r="F44" s="1572">
        <f>+'APUS OCS 130'!F711</f>
        <v>0</v>
      </c>
      <c r="G44" s="1582">
        <f>ROUND((E44*F44),2)</f>
        <v>0</v>
      </c>
      <c r="I44" s="1490">
        <f>F38*E38</f>
        <v>0</v>
      </c>
      <c r="J44" s="947" t="s">
        <v>367</v>
      </c>
      <c r="K44" s="948" t="s">
        <v>365</v>
      </c>
      <c r="L44" s="949">
        <v>2</v>
      </c>
      <c r="M44" s="1560"/>
      <c r="N44" s="1608">
        <v>32</v>
      </c>
      <c r="O44" s="1621" t="s">
        <v>458</v>
      </c>
      <c r="P44" s="1622" t="s">
        <v>393</v>
      </c>
      <c r="Q44" s="1617">
        <v>3</v>
      </c>
      <c r="R44" s="1612">
        <v>0</v>
      </c>
      <c r="S44" s="1623">
        <f t="shared" si="9"/>
        <v>0</v>
      </c>
      <c r="T44" s="1563"/>
    </row>
    <row r="45" spans="1:20" ht="30" customHeight="1">
      <c r="B45" s="1568">
        <v>33</v>
      </c>
      <c r="C45" s="1574" t="s">
        <v>627</v>
      </c>
      <c r="D45" s="1570" t="s">
        <v>43</v>
      </c>
      <c r="E45" s="1575">
        <v>10</v>
      </c>
      <c r="F45" s="1572">
        <f>+'APUS OCS 130'!F757</f>
        <v>0</v>
      </c>
      <c r="G45" s="1582">
        <f t="shared" ref="G45:G48" si="10">ROUND((E45*F45),2)</f>
        <v>0</v>
      </c>
      <c r="I45" s="1490">
        <f>F39*E39</f>
        <v>0</v>
      </c>
      <c r="N45" s="1608">
        <v>33</v>
      </c>
      <c r="O45" s="1624" t="s">
        <v>624</v>
      </c>
      <c r="P45" s="1622" t="s">
        <v>393</v>
      </c>
      <c r="Q45" s="1615">
        <v>3</v>
      </c>
      <c r="R45" s="1612">
        <v>0</v>
      </c>
      <c r="S45" s="1625">
        <f t="shared" si="9"/>
        <v>0</v>
      </c>
    </row>
    <row r="46" spans="1:20" ht="29.45" customHeight="1">
      <c r="B46" s="1568">
        <v>34</v>
      </c>
      <c r="C46" s="1574" t="s">
        <v>628</v>
      </c>
      <c r="D46" s="1570" t="s">
        <v>43</v>
      </c>
      <c r="E46" s="1575">
        <v>10</v>
      </c>
      <c r="F46" s="1572">
        <f>+'APUS OCS 130'!F773</f>
        <v>0</v>
      </c>
      <c r="G46" s="1582">
        <f t="shared" si="10"/>
        <v>0</v>
      </c>
      <c r="I46" s="1490">
        <f>F40*E40</f>
        <v>0</v>
      </c>
      <c r="N46" s="1608">
        <v>34</v>
      </c>
      <c r="O46" s="1624" t="s">
        <v>625</v>
      </c>
      <c r="P46" s="1622" t="s">
        <v>393</v>
      </c>
      <c r="Q46" s="1615">
        <v>3</v>
      </c>
      <c r="R46" s="1612">
        <v>0</v>
      </c>
      <c r="S46" s="1625">
        <f t="shared" si="9"/>
        <v>0</v>
      </c>
    </row>
    <row r="47" spans="1:20" ht="32.25" customHeight="1" thickBot="1">
      <c r="A47" s="1494">
        <v>2</v>
      </c>
      <c r="B47" s="1568">
        <v>35</v>
      </c>
      <c r="C47" s="1574" t="s">
        <v>629</v>
      </c>
      <c r="D47" s="1570" t="s">
        <v>43</v>
      </c>
      <c r="E47" s="1575">
        <v>10</v>
      </c>
      <c r="F47" s="1572">
        <f>+'APUS OCS 130'!F789</f>
        <v>0</v>
      </c>
      <c r="G47" s="1582">
        <f t="shared" si="10"/>
        <v>0</v>
      </c>
      <c r="I47" s="1490">
        <f>F49*E49</f>
        <v>0</v>
      </c>
      <c r="N47" s="1608">
        <v>35</v>
      </c>
      <c r="O47" s="1626" t="s">
        <v>626</v>
      </c>
      <c r="P47" s="1622" t="s">
        <v>393</v>
      </c>
      <c r="Q47" s="1627">
        <v>3</v>
      </c>
      <c r="R47" s="1612">
        <v>0</v>
      </c>
      <c r="S47" s="1628">
        <f t="shared" si="9"/>
        <v>0</v>
      </c>
    </row>
    <row r="48" spans="1:20" ht="28.5" customHeight="1" thickBot="1">
      <c r="A48" s="1494">
        <v>3</v>
      </c>
      <c r="B48" s="1568">
        <v>36</v>
      </c>
      <c r="C48" s="1574" t="s">
        <v>630</v>
      </c>
      <c r="D48" s="1570" t="s">
        <v>43</v>
      </c>
      <c r="E48" s="1575">
        <v>10</v>
      </c>
      <c r="F48" s="1572">
        <f>+'APUS OCS 130'!F800</f>
        <v>0</v>
      </c>
      <c r="G48" s="1582">
        <f t="shared" si="10"/>
        <v>0</v>
      </c>
      <c r="I48" s="1490">
        <f>F50*E50</f>
        <v>0</v>
      </c>
      <c r="N48" s="1629"/>
      <c r="O48" s="1629"/>
      <c r="P48" s="1629"/>
      <c r="Q48" s="1629"/>
      <c r="R48" s="1629"/>
      <c r="S48" s="1629"/>
    </row>
    <row r="49" spans="1:19" ht="21" customHeight="1">
      <c r="A49" s="1494">
        <v>5</v>
      </c>
      <c r="B49" s="1568">
        <v>37</v>
      </c>
      <c r="C49" s="1574" t="s">
        <v>364</v>
      </c>
      <c r="D49" s="1570" t="s">
        <v>393</v>
      </c>
      <c r="E49" s="1575">
        <v>3</v>
      </c>
      <c r="F49" s="1572">
        <v>0</v>
      </c>
      <c r="G49" s="1573">
        <f>ROUND((E49*F49),2)</f>
        <v>0</v>
      </c>
      <c r="I49" s="1490">
        <f>F51*E51</f>
        <v>0</v>
      </c>
      <c r="N49" s="1630"/>
      <c r="O49" s="1631" t="s">
        <v>123</v>
      </c>
      <c r="P49" s="1632"/>
      <c r="Q49" s="1633"/>
      <c r="R49" s="1633"/>
      <c r="S49" s="1634">
        <f>+ROUND(SUM(S13:S47),0)</f>
        <v>0</v>
      </c>
    </row>
    <row r="50" spans="1:19" ht="19.5" customHeight="1">
      <c r="A50" s="1494">
        <v>6</v>
      </c>
      <c r="B50" s="1568">
        <v>38</v>
      </c>
      <c r="C50" s="1574" t="s">
        <v>366</v>
      </c>
      <c r="D50" s="1570" t="s">
        <v>393</v>
      </c>
      <c r="E50" s="1575">
        <v>3</v>
      </c>
      <c r="F50" s="1572">
        <v>0</v>
      </c>
      <c r="G50" s="1573">
        <f>ROUND((E50*F50),2)</f>
        <v>0</v>
      </c>
      <c r="N50" s="1635"/>
      <c r="O50" s="1636" t="s">
        <v>124</v>
      </c>
      <c r="P50" s="1637" t="s">
        <v>125</v>
      </c>
      <c r="Q50" s="1638"/>
      <c r="R50" s="1639"/>
      <c r="S50" s="1640">
        <f>+ROUND(S49*Q50,0)</f>
        <v>0</v>
      </c>
    </row>
    <row r="51" spans="1:19" ht="29.25" thickBot="1">
      <c r="A51" s="1494">
        <v>8</v>
      </c>
      <c r="B51" s="1568">
        <v>39</v>
      </c>
      <c r="C51" s="1583" t="s">
        <v>458</v>
      </c>
      <c r="D51" s="1584" t="s">
        <v>393</v>
      </c>
      <c r="E51" s="1585">
        <v>3</v>
      </c>
      <c r="F51" s="1572">
        <v>0</v>
      </c>
      <c r="G51" s="1586">
        <f>ROUND((E51*F51),2)</f>
        <v>0</v>
      </c>
      <c r="N51" s="1635"/>
      <c r="O51" s="1636" t="s">
        <v>126</v>
      </c>
      <c r="P51" s="1637" t="s">
        <v>125</v>
      </c>
      <c r="Q51" s="1641"/>
      <c r="R51" s="1639"/>
      <c r="S51" s="1640">
        <f>+ROUND(S49*Q51,0)</f>
        <v>0</v>
      </c>
    </row>
    <row r="52" spans="1:19" ht="16.5" thickBot="1">
      <c r="A52" s="1494">
        <v>9</v>
      </c>
      <c r="B52" s="1587"/>
      <c r="C52" s="1588"/>
      <c r="D52" s="1588"/>
      <c r="E52" s="1588"/>
      <c r="F52" s="1588"/>
      <c r="G52" s="1588"/>
      <c r="N52" s="1642"/>
      <c r="O52" s="1643" t="s">
        <v>127</v>
      </c>
      <c r="P52" s="1644"/>
      <c r="Q52" s="1644"/>
      <c r="R52" s="1644"/>
      <c r="S52" s="1645">
        <f>+ROUND(S49+S50+S51,)</f>
        <v>0</v>
      </c>
    </row>
    <row r="53" spans="1:19" ht="27" customHeight="1">
      <c r="A53" s="1494">
        <v>10</v>
      </c>
      <c r="B53" s="1589"/>
      <c r="C53" s="1590" t="s">
        <v>123</v>
      </c>
      <c r="D53" s="1591"/>
      <c r="E53" s="1592"/>
      <c r="F53" s="1592"/>
      <c r="G53" s="1593">
        <f>+ROUND(SUM(G13:G51),0)</f>
        <v>0</v>
      </c>
    </row>
    <row r="54" spans="1:19" ht="20.25" customHeight="1">
      <c r="A54" s="1494">
        <v>12</v>
      </c>
      <c r="B54" s="1594"/>
      <c r="C54" s="1595" t="s">
        <v>124</v>
      </c>
      <c r="D54" s="1596" t="s">
        <v>125</v>
      </c>
      <c r="E54" s="1597"/>
      <c r="F54" s="1598"/>
      <c r="G54" s="1599">
        <f>+ROUND(G53*E54,0)</f>
        <v>0</v>
      </c>
    </row>
    <row r="55" spans="1:19" ht="27" customHeight="1">
      <c r="A55" s="1494">
        <v>19</v>
      </c>
      <c r="B55" s="1594"/>
      <c r="C55" s="1595" t="s">
        <v>126</v>
      </c>
      <c r="D55" s="1596" t="s">
        <v>125</v>
      </c>
      <c r="E55" s="1600"/>
      <c r="F55" s="1598"/>
      <c r="G55" s="1599">
        <f>+ROUND(G53*E55,0)</f>
        <v>0</v>
      </c>
    </row>
    <row r="56" spans="1:19" ht="22.5" customHeight="1" thickBot="1">
      <c r="A56" s="1494">
        <v>20</v>
      </c>
      <c r="B56" s="1601"/>
      <c r="C56" s="1602" t="s">
        <v>127</v>
      </c>
      <c r="D56" s="1603"/>
      <c r="E56" s="1603"/>
      <c r="F56" s="1603"/>
      <c r="G56" s="1604">
        <f>+ROUND(G53+G54+G55,)</f>
        <v>0</v>
      </c>
    </row>
    <row r="59" spans="1:19" ht="30" customHeight="1">
      <c r="N59" s="1666">
        <f>+G56+S52</f>
        <v>0</v>
      </c>
    </row>
    <row r="60" spans="1:19" ht="12.95" customHeight="1"/>
    <row r="61" spans="1:19">
      <c r="I61" s="1490">
        <f>SUM(I13:I60)</f>
        <v>0</v>
      </c>
    </row>
    <row r="62" spans="1:19">
      <c r="I62" s="1490">
        <f>I61*E54</f>
        <v>0</v>
      </c>
    </row>
    <row r="63" spans="1:19">
      <c r="I63" s="1490">
        <f>I61*E55</f>
        <v>0</v>
      </c>
    </row>
    <row r="64" spans="1:19">
      <c r="I64" s="1490">
        <f>SUM(I61:I63)</f>
        <v>0</v>
      </c>
    </row>
  </sheetData>
  <mergeCells count="23">
    <mergeCell ref="R10:S10"/>
    <mergeCell ref="Q3:S5"/>
    <mergeCell ref="D6:F6"/>
    <mergeCell ref="D7:F7"/>
    <mergeCell ref="D8:F8"/>
    <mergeCell ref="D9:E9"/>
    <mergeCell ref="F9:G9"/>
    <mergeCell ref="N2:O10"/>
    <mergeCell ref="P2:Q2"/>
    <mergeCell ref="P3:P5"/>
    <mergeCell ref="E3:G5"/>
    <mergeCell ref="P6:R6"/>
    <mergeCell ref="P7:R7"/>
    <mergeCell ref="P8:R8"/>
    <mergeCell ref="P9:Q9"/>
    <mergeCell ref="R9:S9"/>
    <mergeCell ref="P10:Q10"/>
    <mergeCell ref="A19:A20"/>
    <mergeCell ref="F10:G10"/>
    <mergeCell ref="B2:C10"/>
    <mergeCell ref="D2:E2"/>
    <mergeCell ref="D3:D5"/>
    <mergeCell ref="D10:E10"/>
  </mergeCells>
  <phoneticPr fontId="24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1:I85"/>
  <sheetViews>
    <sheetView showGridLines="0" topLeftCell="A13" zoomScaleNormal="100" zoomScaleSheetLayoutView="90" workbookViewId="0">
      <selection activeCell="G5" sqref="G5"/>
    </sheetView>
  </sheetViews>
  <sheetFormatPr baseColWidth="10" defaultRowHeight="11.25"/>
  <cols>
    <col min="1" max="1" width="1" style="200" customWidth="1"/>
    <col min="2" max="2" width="3.7109375" style="200" customWidth="1"/>
    <col min="3" max="3" width="36.85546875" style="200" customWidth="1"/>
    <col min="4" max="4" width="15.7109375" style="217" customWidth="1"/>
    <col min="5" max="5" width="11.28515625" style="200" customWidth="1"/>
    <col min="6" max="6" width="12.42578125" style="218" customWidth="1"/>
    <col min="7" max="7" width="16.85546875" style="217" customWidth="1"/>
    <col min="8" max="8" width="1.28515625" style="200" customWidth="1"/>
    <col min="9" max="9" width="13.7109375" style="200" customWidth="1"/>
    <col min="10" max="256" width="11.42578125" style="200"/>
    <col min="257" max="257" width="1" style="200" customWidth="1"/>
    <col min="258" max="258" width="3.7109375" style="200" customWidth="1"/>
    <col min="259" max="259" width="39.7109375" style="200" customWidth="1"/>
    <col min="260" max="260" width="15.7109375" style="200" customWidth="1"/>
    <col min="261" max="261" width="12.5703125" style="200" customWidth="1"/>
    <col min="262" max="262" width="28.42578125" style="200" customWidth="1"/>
    <col min="263" max="263" width="18.7109375" style="200" customWidth="1"/>
    <col min="264" max="264" width="1.28515625" style="200" customWidth="1"/>
    <col min="265" max="265" width="13.7109375" style="200" customWidth="1"/>
    <col min="266" max="512" width="11.42578125" style="200"/>
    <col min="513" max="513" width="1" style="200" customWidth="1"/>
    <col min="514" max="514" width="3.7109375" style="200" customWidth="1"/>
    <col min="515" max="515" width="39.7109375" style="200" customWidth="1"/>
    <col min="516" max="516" width="15.7109375" style="200" customWidth="1"/>
    <col min="517" max="517" width="12.5703125" style="200" customWidth="1"/>
    <col min="518" max="518" width="28.42578125" style="200" customWidth="1"/>
    <col min="519" max="519" width="18.7109375" style="200" customWidth="1"/>
    <col min="520" max="520" width="1.28515625" style="200" customWidth="1"/>
    <col min="521" max="521" width="13.7109375" style="200" customWidth="1"/>
    <col min="522" max="768" width="11.42578125" style="200"/>
    <col min="769" max="769" width="1" style="200" customWidth="1"/>
    <col min="770" max="770" width="3.7109375" style="200" customWidth="1"/>
    <col min="771" max="771" width="39.7109375" style="200" customWidth="1"/>
    <col min="772" max="772" width="15.7109375" style="200" customWidth="1"/>
    <col min="773" max="773" width="12.5703125" style="200" customWidth="1"/>
    <col min="774" max="774" width="28.42578125" style="200" customWidth="1"/>
    <col min="775" max="775" width="18.7109375" style="200" customWidth="1"/>
    <col min="776" max="776" width="1.28515625" style="200" customWidth="1"/>
    <col min="777" max="777" width="13.7109375" style="200" customWidth="1"/>
    <col min="778" max="1024" width="11.42578125" style="200"/>
    <col min="1025" max="1025" width="1" style="200" customWidth="1"/>
    <col min="1026" max="1026" width="3.7109375" style="200" customWidth="1"/>
    <col min="1027" max="1027" width="39.7109375" style="200" customWidth="1"/>
    <col min="1028" max="1028" width="15.7109375" style="200" customWidth="1"/>
    <col min="1029" max="1029" width="12.5703125" style="200" customWidth="1"/>
    <col min="1030" max="1030" width="28.42578125" style="200" customWidth="1"/>
    <col min="1031" max="1031" width="18.7109375" style="200" customWidth="1"/>
    <col min="1032" max="1032" width="1.28515625" style="200" customWidth="1"/>
    <col min="1033" max="1033" width="13.7109375" style="200" customWidth="1"/>
    <col min="1034" max="1280" width="11.42578125" style="200"/>
    <col min="1281" max="1281" width="1" style="200" customWidth="1"/>
    <col min="1282" max="1282" width="3.7109375" style="200" customWidth="1"/>
    <col min="1283" max="1283" width="39.7109375" style="200" customWidth="1"/>
    <col min="1284" max="1284" width="15.7109375" style="200" customWidth="1"/>
    <col min="1285" max="1285" width="12.5703125" style="200" customWidth="1"/>
    <col min="1286" max="1286" width="28.42578125" style="200" customWidth="1"/>
    <col min="1287" max="1287" width="18.7109375" style="200" customWidth="1"/>
    <col min="1288" max="1288" width="1.28515625" style="200" customWidth="1"/>
    <col min="1289" max="1289" width="13.7109375" style="200" customWidth="1"/>
    <col min="1290" max="1536" width="11.42578125" style="200"/>
    <col min="1537" max="1537" width="1" style="200" customWidth="1"/>
    <col min="1538" max="1538" width="3.7109375" style="200" customWidth="1"/>
    <col min="1539" max="1539" width="39.7109375" style="200" customWidth="1"/>
    <col min="1540" max="1540" width="15.7109375" style="200" customWidth="1"/>
    <col min="1541" max="1541" width="12.5703125" style="200" customWidth="1"/>
    <col min="1542" max="1542" width="28.42578125" style="200" customWidth="1"/>
    <col min="1543" max="1543" width="18.7109375" style="200" customWidth="1"/>
    <col min="1544" max="1544" width="1.28515625" style="200" customWidth="1"/>
    <col min="1545" max="1545" width="13.7109375" style="200" customWidth="1"/>
    <col min="1546" max="1792" width="11.42578125" style="200"/>
    <col min="1793" max="1793" width="1" style="200" customWidth="1"/>
    <col min="1794" max="1794" width="3.7109375" style="200" customWidth="1"/>
    <col min="1795" max="1795" width="39.7109375" style="200" customWidth="1"/>
    <col min="1796" max="1796" width="15.7109375" style="200" customWidth="1"/>
    <col min="1797" max="1797" width="12.5703125" style="200" customWidth="1"/>
    <col min="1798" max="1798" width="28.42578125" style="200" customWidth="1"/>
    <col min="1799" max="1799" width="18.7109375" style="200" customWidth="1"/>
    <col min="1800" max="1800" width="1.28515625" style="200" customWidth="1"/>
    <col min="1801" max="1801" width="13.7109375" style="200" customWidth="1"/>
    <col min="1802" max="2048" width="11.42578125" style="200"/>
    <col min="2049" max="2049" width="1" style="200" customWidth="1"/>
    <col min="2050" max="2050" width="3.7109375" style="200" customWidth="1"/>
    <col min="2051" max="2051" width="39.7109375" style="200" customWidth="1"/>
    <col min="2052" max="2052" width="15.7109375" style="200" customWidth="1"/>
    <col min="2053" max="2053" width="12.5703125" style="200" customWidth="1"/>
    <col min="2054" max="2054" width="28.42578125" style="200" customWidth="1"/>
    <col min="2055" max="2055" width="18.7109375" style="200" customWidth="1"/>
    <col min="2056" max="2056" width="1.28515625" style="200" customWidth="1"/>
    <col min="2057" max="2057" width="13.7109375" style="200" customWidth="1"/>
    <col min="2058" max="2304" width="11.42578125" style="200"/>
    <col min="2305" max="2305" width="1" style="200" customWidth="1"/>
    <col min="2306" max="2306" width="3.7109375" style="200" customWidth="1"/>
    <col min="2307" max="2307" width="39.7109375" style="200" customWidth="1"/>
    <col min="2308" max="2308" width="15.7109375" style="200" customWidth="1"/>
    <col min="2309" max="2309" width="12.5703125" style="200" customWidth="1"/>
    <col min="2310" max="2310" width="28.42578125" style="200" customWidth="1"/>
    <col min="2311" max="2311" width="18.7109375" style="200" customWidth="1"/>
    <col min="2312" max="2312" width="1.28515625" style="200" customWidth="1"/>
    <col min="2313" max="2313" width="13.7109375" style="200" customWidth="1"/>
    <col min="2314" max="2560" width="11.42578125" style="200"/>
    <col min="2561" max="2561" width="1" style="200" customWidth="1"/>
    <col min="2562" max="2562" width="3.7109375" style="200" customWidth="1"/>
    <col min="2563" max="2563" width="39.7109375" style="200" customWidth="1"/>
    <col min="2564" max="2564" width="15.7109375" style="200" customWidth="1"/>
    <col min="2565" max="2565" width="12.5703125" style="200" customWidth="1"/>
    <col min="2566" max="2566" width="28.42578125" style="200" customWidth="1"/>
    <col min="2567" max="2567" width="18.7109375" style="200" customWidth="1"/>
    <col min="2568" max="2568" width="1.28515625" style="200" customWidth="1"/>
    <col min="2569" max="2569" width="13.7109375" style="200" customWidth="1"/>
    <col min="2570" max="2816" width="11.42578125" style="200"/>
    <col min="2817" max="2817" width="1" style="200" customWidth="1"/>
    <col min="2818" max="2818" width="3.7109375" style="200" customWidth="1"/>
    <col min="2819" max="2819" width="39.7109375" style="200" customWidth="1"/>
    <col min="2820" max="2820" width="15.7109375" style="200" customWidth="1"/>
    <col min="2821" max="2821" width="12.5703125" style="200" customWidth="1"/>
    <col min="2822" max="2822" width="28.42578125" style="200" customWidth="1"/>
    <col min="2823" max="2823" width="18.7109375" style="200" customWidth="1"/>
    <col min="2824" max="2824" width="1.28515625" style="200" customWidth="1"/>
    <col min="2825" max="2825" width="13.7109375" style="200" customWidth="1"/>
    <col min="2826" max="3072" width="11.42578125" style="200"/>
    <col min="3073" max="3073" width="1" style="200" customWidth="1"/>
    <col min="3074" max="3074" width="3.7109375" style="200" customWidth="1"/>
    <col min="3075" max="3075" width="39.7109375" style="200" customWidth="1"/>
    <col min="3076" max="3076" width="15.7109375" style="200" customWidth="1"/>
    <col min="3077" max="3077" width="12.5703125" style="200" customWidth="1"/>
    <col min="3078" max="3078" width="28.42578125" style="200" customWidth="1"/>
    <col min="3079" max="3079" width="18.7109375" style="200" customWidth="1"/>
    <col min="3080" max="3080" width="1.28515625" style="200" customWidth="1"/>
    <col min="3081" max="3081" width="13.7109375" style="200" customWidth="1"/>
    <col min="3082" max="3328" width="11.42578125" style="200"/>
    <col min="3329" max="3329" width="1" style="200" customWidth="1"/>
    <col min="3330" max="3330" width="3.7109375" style="200" customWidth="1"/>
    <col min="3331" max="3331" width="39.7109375" style="200" customWidth="1"/>
    <col min="3332" max="3332" width="15.7109375" style="200" customWidth="1"/>
    <col min="3333" max="3333" width="12.5703125" style="200" customWidth="1"/>
    <col min="3334" max="3334" width="28.42578125" style="200" customWidth="1"/>
    <col min="3335" max="3335" width="18.7109375" style="200" customWidth="1"/>
    <col min="3336" max="3336" width="1.28515625" style="200" customWidth="1"/>
    <col min="3337" max="3337" width="13.7109375" style="200" customWidth="1"/>
    <col min="3338" max="3584" width="11.42578125" style="200"/>
    <col min="3585" max="3585" width="1" style="200" customWidth="1"/>
    <col min="3586" max="3586" width="3.7109375" style="200" customWidth="1"/>
    <col min="3587" max="3587" width="39.7109375" style="200" customWidth="1"/>
    <col min="3588" max="3588" width="15.7109375" style="200" customWidth="1"/>
    <col min="3589" max="3589" width="12.5703125" style="200" customWidth="1"/>
    <col min="3590" max="3590" width="28.42578125" style="200" customWidth="1"/>
    <col min="3591" max="3591" width="18.7109375" style="200" customWidth="1"/>
    <col min="3592" max="3592" width="1.28515625" style="200" customWidth="1"/>
    <col min="3593" max="3593" width="13.7109375" style="200" customWidth="1"/>
    <col min="3594" max="3840" width="11.42578125" style="200"/>
    <col min="3841" max="3841" width="1" style="200" customWidth="1"/>
    <col min="3842" max="3842" width="3.7109375" style="200" customWidth="1"/>
    <col min="3843" max="3843" width="39.7109375" style="200" customWidth="1"/>
    <col min="3844" max="3844" width="15.7109375" style="200" customWidth="1"/>
    <col min="3845" max="3845" width="12.5703125" style="200" customWidth="1"/>
    <col min="3846" max="3846" width="28.42578125" style="200" customWidth="1"/>
    <col min="3847" max="3847" width="18.7109375" style="200" customWidth="1"/>
    <col min="3848" max="3848" width="1.28515625" style="200" customWidth="1"/>
    <col min="3849" max="3849" width="13.7109375" style="200" customWidth="1"/>
    <col min="3850" max="4096" width="11.42578125" style="200"/>
    <col min="4097" max="4097" width="1" style="200" customWidth="1"/>
    <col min="4098" max="4098" width="3.7109375" style="200" customWidth="1"/>
    <col min="4099" max="4099" width="39.7109375" style="200" customWidth="1"/>
    <col min="4100" max="4100" width="15.7109375" style="200" customWidth="1"/>
    <col min="4101" max="4101" width="12.5703125" style="200" customWidth="1"/>
    <col min="4102" max="4102" width="28.42578125" style="200" customWidth="1"/>
    <col min="4103" max="4103" width="18.7109375" style="200" customWidth="1"/>
    <col min="4104" max="4104" width="1.28515625" style="200" customWidth="1"/>
    <col min="4105" max="4105" width="13.7109375" style="200" customWidth="1"/>
    <col min="4106" max="4352" width="11.42578125" style="200"/>
    <col min="4353" max="4353" width="1" style="200" customWidth="1"/>
    <col min="4354" max="4354" width="3.7109375" style="200" customWidth="1"/>
    <col min="4355" max="4355" width="39.7109375" style="200" customWidth="1"/>
    <col min="4356" max="4356" width="15.7109375" style="200" customWidth="1"/>
    <col min="4357" max="4357" width="12.5703125" style="200" customWidth="1"/>
    <col min="4358" max="4358" width="28.42578125" style="200" customWidth="1"/>
    <col min="4359" max="4359" width="18.7109375" style="200" customWidth="1"/>
    <col min="4360" max="4360" width="1.28515625" style="200" customWidth="1"/>
    <col min="4361" max="4361" width="13.7109375" style="200" customWidth="1"/>
    <col min="4362" max="4608" width="11.42578125" style="200"/>
    <col min="4609" max="4609" width="1" style="200" customWidth="1"/>
    <col min="4610" max="4610" width="3.7109375" style="200" customWidth="1"/>
    <col min="4611" max="4611" width="39.7109375" style="200" customWidth="1"/>
    <col min="4612" max="4612" width="15.7109375" style="200" customWidth="1"/>
    <col min="4613" max="4613" width="12.5703125" style="200" customWidth="1"/>
    <col min="4614" max="4614" width="28.42578125" style="200" customWidth="1"/>
    <col min="4615" max="4615" width="18.7109375" style="200" customWidth="1"/>
    <col min="4616" max="4616" width="1.28515625" style="200" customWidth="1"/>
    <col min="4617" max="4617" width="13.7109375" style="200" customWidth="1"/>
    <col min="4618" max="4864" width="11.42578125" style="200"/>
    <col min="4865" max="4865" width="1" style="200" customWidth="1"/>
    <col min="4866" max="4866" width="3.7109375" style="200" customWidth="1"/>
    <col min="4867" max="4867" width="39.7109375" style="200" customWidth="1"/>
    <col min="4868" max="4868" width="15.7109375" style="200" customWidth="1"/>
    <col min="4869" max="4869" width="12.5703125" style="200" customWidth="1"/>
    <col min="4870" max="4870" width="28.42578125" style="200" customWidth="1"/>
    <col min="4871" max="4871" width="18.7109375" style="200" customWidth="1"/>
    <col min="4872" max="4872" width="1.28515625" style="200" customWidth="1"/>
    <col min="4873" max="4873" width="13.7109375" style="200" customWidth="1"/>
    <col min="4874" max="5120" width="11.42578125" style="200"/>
    <col min="5121" max="5121" width="1" style="200" customWidth="1"/>
    <col min="5122" max="5122" width="3.7109375" style="200" customWidth="1"/>
    <col min="5123" max="5123" width="39.7109375" style="200" customWidth="1"/>
    <col min="5124" max="5124" width="15.7109375" style="200" customWidth="1"/>
    <col min="5125" max="5125" width="12.5703125" style="200" customWidth="1"/>
    <col min="5126" max="5126" width="28.42578125" style="200" customWidth="1"/>
    <col min="5127" max="5127" width="18.7109375" style="200" customWidth="1"/>
    <col min="5128" max="5128" width="1.28515625" style="200" customWidth="1"/>
    <col min="5129" max="5129" width="13.7109375" style="200" customWidth="1"/>
    <col min="5130" max="5376" width="11.42578125" style="200"/>
    <col min="5377" max="5377" width="1" style="200" customWidth="1"/>
    <col min="5378" max="5378" width="3.7109375" style="200" customWidth="1"/>
    <col min="5379" max="5379" width="39.7109375" style="200" customWidth="1"/>
    <col min="5380" max="5380" width="15.7109375" style="200" customWidth="1"/>
    <col min="5381" max="5381" width="12.5703125" style="200" customWidth="1"/>
    <col min="5382" max="5382" width="28.42578125" style="200" customWidth="1"/>
    <col min="5383" max="5383" width="18.7109375" style="200" customWidth="1"/>
    <col min="5384" max="5384" width="1.28515625" style="200" customWidth="1"/>
    <col min="5385" max="5385" width="13.7109375" style="200" customWidth="1"/>
    <col min="5386" max="5632" width="11.42578125" style="200"/>
    <col min="5633" max="5633" width="1" style="200" customWidth="1"/>
    <col min="5634" max="5634" width="3.7109375" style="200" customWidth="1"/>
    <col min="5635" max="5635" width="39.7109375" style="200" customWidth="1"/>
    <col min="5636" max="5636" width="15.7109375" style="200" customWidth="1"/>
    <col min="5637" max="5637" width="12.5703125" style="200" customWidth="1"/>
    <col min="5638" max="5638" width="28.42578125" style="200" customWidth="1"/>
    <col min="5639" max="5639" width="18.7109375" style="200" customWidth="1"/>
    <col min="5640" max="5640" width="1.28515625" style="200" customWidth="1"/>
    <col min="5641" max="5641" width="13.7109375" style="200" customWidth="1"/>
    <col min="5642" max="5888" width="11.42578125" style="200"/>
    <col min="5889" max="5889" width="1" style="200" customWidth="1"/>
    <col min="5890" max="5890" width="3.7109375" style="200" customWidth="1"/>
    <col min="5891" max="5891" width="39.7109375" style="200" customWidth="1"/>
    <col min="5892" max="5892" width="15.7109375" style="200" customWidth="1"/>
    <col min="5893" max="5893" width="12.5703125" style="200" customWidth="1"/>
    <col min="5894" max="5894" width="28.42578125" style="200" customWidth="1"/>
    <col min="5895" max="5895" width="18.7109375" style="200" customWidth="1"/>
    <col min="5896" max="5896" width="1.28515625" style="200" customWidth="1"/>
    <col min="5897" max="5897" width="13.7109375" style="200" customWidth="1"/>
    <col min="5898" max="6144" width="11.42578125" style="200"/>
    <col min="6145" max="6145" width="1" style="200" customWidth="1"/>
    <col min="6146" max="6146" width="3.7109375" style="200" customWidth="1"/>
    <col min="6147" max="6147" width="39.7109375" style="200" customWidth="1"/>
    <col min="6148" max="6148" width="15.7109375" style="200" customWidth="1"/>
    <col min="6149" max="6149" width="12.5703125" style="200" customWidth="1"/>
    <col min="6150" max="6150" width="28.42578125" style="200" customWidth="1"/>
    <col min="6151" max="6151" width="18.7109375" style="200" customWidth="1"/>
    <col min="6152" max="6152" width="1.28515625" style="200" customWidth="1"/>
    <col min="6153" max="6153" width="13.7109375" style="200" customWidth="1"/>
    <col min="6154" max="6400" width="11.42578125" style="200"/>
    <col min="6401" max="6401" width="1" style="200" customWidth="1"/>
    <col min="6402" max="6402" width="3.7109375" style="200" customWidth="1"/>
    <col min="6403" max="6403" width="39.7109375" style="200" customWidth="1"/>
    <col min="6404" max="6404" width="15.7109375" style="200" customWidth="1"/>
    <col min="6405" max="6405" width="12.5703125" style="200" customWidth="1"/>
    <col min="6406" max="6406" width="28.42578125" style="200" customWidth="1"/>
    <col min="6407" max="6407" width="18.7109375" style="200" customWidth="1"/>
    <col min="6408" max="6408" width="1.28515625" style="200" customWidth="1"/>
    <col min="6409" max="6409" width="13.7109375" style="200" customWidth="1"/>
    <col min="6410" max="6656" width="11.42578125" style="200"/>
    <col min="6657" max="6657" width="1" style="200" customWidth="1"/>
    <col min="6658" max="6658" width="3.7109375" style="200" customWidth="1"/>
    <col min="6659" max="6659" width="39.7109375" style="200" customWidth="1"/>
    <col min="6660" max="6660" width="15.7109375" style="200" customWidth="1"/>
    <col min="6661" max="6661" width="12.5703125" style="200" customWidth="1"/>
    <col min="6662" max="6662" width="28.42578125" style="200" customWidth="1"/>
    <col min="6663" max="6663" width="18.7109375" style="200" customWidth="1"/>
    <col min="6664" max="6664" width="1.28515625" style="200" customWidth="1"/>
    <col min="6665" max="6665" width="13.7109375" style="200" customWidth="1"/>
    <col min="6666" max="6912" width="11.42578125" style="200"/>
    <col min="6913" max="6913" width="1" style="200" customWidth="1"/>
    <col min="6914" max="6914" width="3.7109375" style="200" customWidth="1"/>
    <col min="6915" max="6915" width="39.7109375" style="200" customWidth="1"/>
    <col min="6916" max="6916" width="15.7109375" style="200" customWidth="1"/>
    <col min="6917" max="6917" width="12.5703125" style="200" customWidth="1"/>
    <col min="6918" max="6918" width="28.42578125" style="200" customWidth="1"/>
    <col min="6919" max="6919" width="18.7109375" style="200" customWidth="1"/>
    <col min="6920" max="6920" width="1.28515625" style="200" customWidth="1"/>
    <col min="6921" max="6921" width="13.7109375" style="200" customWidth="1"/>
    <col min="6922" max="7168" width="11.42578125" style="200"/>
    <col min="7169" max="7169" width="1" style="200" customWidth="1"/>
    <col min="7170" max="7170" width="3.7109375" style="200" customWidth="1"/>
    <col min="7171" max="7171" width="39.7109375" style="200" customWidth="1"/>
    <col min="7172" max="7172" width="15.7109375" style="200" customWidth="1"/>
    <col min="7173" max="7173" width="12.5703125" style="200" customWidth="1"/>
    <col min="7174" max="7174" width="28.42578125" style="200" customWidth="1"/>
    <col min="7175" max="7175" width="18.7109375" style="200" customWidth="1"/>
    <col min="7176" max="7176" width="1.28515625" style="200" customWidth="1"/>
    <col min="7177" max="7177" width="13.7109375" style="200" customWidth="1"/>
    <col min="7178" max="7424" width="11.42578125" style="200"/>
    <col min="7425" max="7425" width="1" style="200" customWidth="1"/>
    <col min="7426" max="7426" width="3.7109375" style="200" customWidth="1"/>
    <col min="7427" max="7427" width="39.7109375" style="200" customWidth="1"/>
    <col min="7428" max="7428" width="15.7109375" style="200" customWidth="1"/>
    <col min="7429" max="7429" width="12.5703125" style="200" customWidth="1"/>
    <col min="7430" max="7430" width="28.42578125" style="200" customWidth="1"/>
    <col min="7431" max="7431" width="18.7109375" style="200" customWidth="1"/>
    <col min="7432" max="7432" width="1.28515625" style="200" customWidth="1"/>
    <col min="7433" max="7433" width="13.7109375" style="200" customWidth="1"/>
    <col min="7434" max="7680" width="11.42578125" style="200"/>
    <col min="7681" max="7681" width="1" style="200" customWidth="1"/>
    <col min="7682" max="7682" width="3.7109375" style="200" customWidth="1"/>
    <col min="7683" max="7683" width="39.7109375" style="200" customWidth="1"/>
    <col min="7684" max="7684" width="15.7109375" style="200" customWidth="1"/>
    <col min="7685" max="7685" width="12.5703125" style="200" customWidth="1"/>
    <col min="7686" max="7686" width="28.42578125" style="200" customWidth="1"/>
    <col min="7687" max="7687" width="18.7109375" style="200" customWidth="1"/>
    <col min="7688" max="7688" width="1.28515625" style="200" customWidth="1"/>
    <col min="7689" max="7689" width="13.7109375" style="200" customWidth="1"/>
    <col min="7690" max="7936" width="11.42578125" style="200"/>
    <col min="7937" max="7937" width="1" style="200" customWidth="1"/>
    <col min="7938" max="7938" width="3.7109375" style="200" customWidth="1"/>
    <col min="7939" max="7939" width="39.7109375" style="200" customWidth="1"/>
    <col min="7940" max="7940" width="15.7109375" style="200" customWidth="1"/>
    <col min="7941" max="7941" width="12.5703125" style="200" customWidth="1"/>
    <col min="7942" max="7942" width="28.42578125" style="200" customWidth="1"/>
    <col min="7943" max="7943" width="18.7109375" style="200" customWidth="1"/>
    <col min="7944" max="7944" width="1.28515625" style="200" customWidth="1"/>
    <col min="7945" max="7945" width="13.7109375" style="200" customWidth="1"/>
    <col min="7946" max="8192" width="11.42578125" style="200"/>
    <col min="8193" max="8193" width="1" style="200" customWidth="1"/>
    <col min="8194" max="8194" width="3.7109375" style="200" customWidth="1"/>
    <col min="8195" max="8195" width="39.7109375" style="200" customWidth="1"/>
    <col min="8196" max="8196" width="15.7109375" style="200" customWidth="1"/>
    <col min="8197" max="8197" width="12.5703125" style="200" customWidth="1"/>
    <col min="8198" max="8198" width="28.42578125" style="200" customWidth="1"/>
    <col min="8199" max="8199" width="18.7109375" style="200" customWidth="1"/>
    <col min="8200" max="8200" width="1.28515625" style="200" customWidth="1"/>
    <col min="8201" max="8201" width="13.7109375" style="200" customWidth="1"/>
    <col min="8202" max="8448" width="11.42578125" style="200"/>
    <col min="8449" max="8449" width="1" style="200" customWidth="1"/>
    <col min="8450" max="8450" width="3.7109375" style="200" customWidth="1"/>
    <col min="8451" max="8451" width="39.7109375" style="200" customWidth="1"/>
    <col min="8452" max="8452" width="15.7109375" style="200" customWidth="1"/>
    <col min="8453" max="8453" width="12.5703125" style="200" customWidth="1"/>
    <col min="8454" max="8454" width="28.42578125" style="200" customWidth="1"/>
    <col min="8455" max="8455" width="18.7109375" style="200" customWidth="1"/>
    <col min="8456" max="8456" width="1.28515625" style="200" customWidth="1"/>
    <col min="8457" max="8457" width="13.7109375" style="200" customWidth="1"/>
    <col min="8458" max="8704" width="11.42578125" style="200"/>
    <col min="8705" max="8705" width="1" style="200" customWidth="1"/>
    <col min="8706" max="8706" width="3.7109375" style="200" customWidth="1"/>
    <col min="8707" max="8707" width="39.7109375" style="200" customWidth="1"/>
    <col min="8708" max="8708" width="15.7109375" style="200" customWidth="1"/>
    <col min="8709" max="8709" width="12.5703125" style="200" customWidth="1"/>
    <col min="8710" max="8710" width="28.42578125" style="200" customWidth="1"/>
    <col min="8711" max="8711" width="18.7109375" style="200" customWidth="1"/>
    <col min="8712" max="8712" width="1.28515625" style="200" customWidth="1"/>
    <col min="8713" max="8713" width="13.7109375" style="200" customWidth="1"/>
    <col min="8714" max="8960" width="11.42578125" style="200"/>
    <col min="8961" max="8961" width="1" style="200" customWidth="1"/>
    <col min="8962" max="8962" width="3.7109375" style="200" customWidth="1"/>
    <col min="8963" max="8963" width="39.7109375" style="200" customWidth="1"/>
    <col min="8964" max="8964" width="15.7109375" style="200" customWidth="1"/>
    <col min="8965" max="8965" width="12.5703125" style="200" customWidth="1"/>
    <col min="8966" max="8966" width="28.42578125" style="200" customWidth="1"/>
    <col min="8967" max="8967" width="18.7109375" style="200" customWidth="1"/>
    <col min="8968" max="8968" width="1.28515625" style="200" customWidth="1"/>
    <col min="8969" max="8969" width="13.7109375" style="200" customWidth="1"/>
    <col min="8970" max="9216" width="11.42578125" style="200"/>
    <col min="9217" max="9217" width="1" style="200" customWidth="1"/>
    <col min="9218" max="9218" width="3.7109375" style="200" customWidth="1"/>
    <col min="9219" max="9219" width="39.7109375" style="200" customWidth="1"/>
    <col min="9220" max="9220" width="15.7109375" style="200" customWidth="1"/>
    <col min="9221" max="9221" width="12.5703125" style="200" customWidth="1"/>
    <col min="9222" max="9222" width="28.42578125" style="200" customWidth="1"/>
    <col min="9223" max="9223" width="18.7109375" style="200" customWidth="1"/>
    <col min="9224" max="9224" width="1.28515625" style="200" customWidth="1"/>
    <col min="9225" max="9225" width="13.7109375" style="200" customWidth="1"/>
    <col min="9226" max="9472" width="11.42578125" style="200"/>
    <col min="9473" max="9473" width="1" style="200" customWidth="1"/>
    <col min="9474" max="9474" width="3.7109375" style="200" customWidth="1"/>
    <col min="9475" max="9475" width="39.7109375" style="200" customWidth="1"/>
    <col min="9476" max="9476" width="15.7109375" style="200" customWidth="1"/>
    <col min="9477" max="9477" width="12.5703125" style="200" customWidth="1"/>
    <col min="9478" max="9478" width="28.42578125" style="200" customWidth="1"/>
    <col min="9479" max="9479" width="18.7109375" style="200" customWidth="1"/>
    <col min="9480" max="9480" width="1.28515625" style="200" customWidth="1"/>
    <col min="9481" max="9481" width="13.7109375" style="200" customWidth="1"/>
    <col min="9482" max="9728" width="11.42578125" style="200"/>
    <col min="9729" max="9729" width="1" style="200" customWidth="1"/>
    <col min="9730" max="9730" width="3.7109375" style="200" customWidth="1"/>
    <col min="9731" max="9731" width="39.7109375" style="200" customWidth="1"/>
    <col min="9732" max="9732" width="15.7109375" style="200" customWidth="1"/>
    <col min="9733" max="9733" width="12.5703125" style="200" customWidth="1"/>
    <col min="9734" max="9734" width="28.42578125" style="200" customWidth="1"/>
    <col min="9735" max="9735" width="18.7109375" style="200" customWidth="1"/>
    <col min="9736" max="9736" width="1.28515625" style="200" customWidth="1"/>
    <col min="9737" max="9737" width="13.7109375" style="200" customWidth="1"/>
    <col min="9738" max="9984" width="11.42578125" style="200"/>
    <col min="9985" max="9985" width="1" style="200" customWidth="1"/>
    <col min="9986" max="9986" width="3.7109375" style="200" customWidth="1"/>
    <col min="9987" max="9987" width="39.7109375" style="200" customWidth="1"/>
    <col min="9988" max="9988" width="15.7109375" style="200" customWidth="1"/>
    <col min="9989" max="9989" width="12.5703125" style="200" customWidth="1"/>
    <col min="9990" max="9990" width="28.42578125" style="200" customWidth="1"/>
    <col min="9991" max="9991" width="18.7109375" style="200" customWidth="1"/>
    <col min="9992" max="9992" width="1.28515625" style="200" customWidth="1"/>
    <col min="9993" max="9993" width="13.7109375" style="200" customWidth="1"/>
    <col min="9994" max="10240" width="11.42578125" style="200"/>
    <col min="10241" max="10241" width="1" style="200" customWidth="1"/>
    <col min="10242" max="10242" width="3.7109375" style="200" customWidth="1"/>
    <col min="10243" max="10243" width="39.7109375" style="200" customWidth="1"/>
    <col min="10244" max="10244" width="15.7109375" style="200" customWidth="1"/>
    <col min="10245" max="10245" width="12.5703125" style="200" customWidth="1"/>
    <col min="10246" max="10246" width="28.42578125" style="200" customWidth="1"/>
    <col min="10247" max="10247" width="18.7109375" style="200" customWidth="1"/>
    <col min="10248" max="10248" width="1.28515625" style="200" customWidth="1"/>
    <col min="10249" max="10249" width="13.7109375" style="200" customWidth="1"/>
    <col min="10250" max="10496" width="11.42578125" style="200"/>
    <col min="10497" max="10497" width="1" style="200" customWidth="1"/>
    <col min="10498" max="10498" width="3.7109375" style="200" customWidth="1"/>
    <col min="10499" max="10499" width="39.7109375" style="200" customWidth="1"/>
    <col min="10500" max="10500" width="15.7109375" style="200" customWidth="1"/>
    <col min="10501" max="10501" width="12.5703125" style="200" customWidth="1"/>
    <col min="10502" max="10502" width="28.42578125" style="200" customWidth="1"/>
    <col min="10503" max="10503" width="18.7109375" style="200" customWidth="1"/>
    <col min="10504" max="10504" width="1.28515625" style="200" customWidth="1"/>
    <col min="10505" max="10505" width="13.7109375" style="200" customWidth="1"/>
    <col min="10506" max="10752" width="11.42578125" style="200"/>
    <col min="10753" max="10753" width="1" style="200" customWidth="1"/>
    <col min="10754" max="10754" width="3.7109375" style="200" customWidth="1"/>
    <col min="10755" max="10755" width="39.7109375" style="200" customWidth="1"/>
    <col min="10756" max="10756" width="15.7109375" style="200" customWidth="1"/>
    <col min="10757" max="10757" width="12.5703125" style="200" customWidth="1"/>
    <col min="10758" max="10758" width="28.42578125" style="200" customWidth="1"/>
    <col min="10759" max="10759" width="18.7109375" style="200" customWidth="1"/>
    <col min="10760" max="10760" width="1.28515625" style="200" customWidth="1"/>
    <col min="10761" max="10761" width="13.7109375" style="200" customWidth="1"/>
    <col min="10762" max="11008" width="11.42578125" style="200"/>
    <col min="11009" max="11009" width="1" style="200" customWidth="1"/>
    <col min="11010" max="11010" width="3.7109375" style="200" customWidth="1"/>
    <col min="11011" max="11011" width="39.7109375" style="200" customWidth="1"/>
    <col min="11012" max="11012" width="15.7109375" style="200" customWidth="1"/>
    <col min="11013" max="11013" width="12.5703125" style="200" customWidth="1"/>
    <col min="11014" max="11014" width="28.42578125" style="200" customWidth="1"/>
    <col min="11015" max="11015" width="18.7109375" style="200" customWidth="1"/>
    <col min="11016" max="11016" width="1.28515625" style="200" customWidth="1"/>
    <col min="11017" max="11017" width="13.7109375" style="200" customWidth="1"/>
    <col min="11018" max="11264" width="11.42578125" style="200"/>
    <col min="11265" max="11265" width="1" style="200" customWidth="1"/>
    <col min="11266" max="11266" width="3.7109375" style="200" customWidth="1"/>
    <col min="11267" max="11267" width="39.7109375" style="200" customWidth="1"/>
    <col min="11268" max="11268" width="15.7109375" style="200" customWidth="1"/>
    <col min="11269" max="11269" width="12.5703125" style="200" customWidth="1"/>
    <col min="11270" max="11270" width="28.42578125" style="200" customWidth="1"/>
    <col min="11271" max="11271" width="18.7109375" style="200" customWidth="1"/>
    <col min="11272" max="11272" width="1.28515625" style="200" customWidth="1"/>
    <col min="11273" max="11273" width="13.7109375" style="200" customWidth="1"/>
    <col min="11274" max="11520" width="11.42578125" style="200"/>
    <col min="11521" max="11521" width="1" style="200" customWidth="1"/>
    <col min="11522" max="11522" width="3.7109375" style="200" customWidth="1"/>
    <col min="11523" max="11523" width="39.7109375" style="200" customWidth="1"/>
    <col min="11524" max="11524" width="15.7109375" style="200" customWidth="1"/>
    <col min="11525" max="11525" width="12.5703125" style="200" customWidth="1"/>
    <col min="11526" max="11526" width="28.42578125" style="200" customWidth="1"/>
    <col min="11527" max="11527" width="18.7109375" style="200" customWidth="1"/>
    <col min="11528" max="11528" width="1.28515625" style="200" customWidth="1"/>
    <col min="11529" max="11529" width="13.7109375" style="200" customWidth="1"/>
    <col min="11530" max="11776" width="11.42578125" style="200"/>
    <col min="11777" max="11777" width="1" style="200" customWidth="1"/>
    <col min="11778" max="11778" width="3.7109375" style="200" customWidth="1"/>
    <col min="11779" max="11779" width="39.7109375" style="200" customWidth="1"/>
    <col min="11780" max="11780" width="15.7109375" style="200" customWidth="1"/>
    <col min="11781" max="11781" width="12.5703125" style="200" customWidth="1"/>
    <col min="11782" max="11782" width="28.42578125" style="200" customWidth="1"/>
    <col min="11783" max="11783" width="18.7109375" style="200" customWidth="1"/>
    <col min="11784" max="11784" width="1.28515625" style="200" customWidth="1"/>
    <col min="11785" max="11785" width="13.7109375" style="200" customWidth="1"/>
    <col min="11786" max="12032" width="11.42578125" style="200"/>
    <col min="12033" max="12033" width="1" style="200" customWidth="1"/>
    <col min="12034" max="12034" width="3.7109375" style="200" customWidth="1"/>
    <col min="12035" max="12035" width="39.7109375" style="200" customWidth="1"/>
    <col min="12036" max="12036" width="15.7109375" style="200" customWidth="1"/>
    <col min="12037" max="12037" width="12.5703125" style="200" customWidth="1"/>
    <col min="12038" max="12038" width="28.42578125" style="200" customWidth="1"/>
    <col min="12039" max="12039" width="18.7109375" style="200" customWidth="1"/>
    <col min="12040" max="12040" width="1.28515625" style="200" customWidth="1"/>
    <col min="12041" max="12041" width="13.7109375" style="200" customWidth="1"/>
    <col min="12042" max="12288" width="11.42578125" style="200"/>
    <col min="12289" max="12289" width="1" style="200" customWidth="1"/>
    <col min="12290" max="12290" width="3.7109375" style="200" customWidth="1"/>
    <col min="12291" max="12291" width="39.7109375" style="200" customWidth="1"/>
    <col min="12292" max="12292" width="15.7109375" style="200" customWidth="1"/>
    <col min="12293" max="12293" width="12.5703125" style="200" customWidth="1"/>
    <col min="12294" max="12294" width="28.42578125" style="200" customWidth="1"/>
    <col min="12295" max="12295" width="18.7109375" style="200" customWidth="1"/>
    <col min="12296" max="12296" width="1.28515625" style="200" customWidth="1"/>
    <col min="12297" max="12297" width="13.7109375" style="200" customWidth="1"/>
    <col min="12298" max="12544" width="11.42578125" style="200"/>
    <col min="12545" max="12545" width="1" style="200" customWidth="1"/>
    <col min="12546" max="12546" width="3.7109375" style="200" customWidth="1"/>
    <col min="12547" max="12547" width="39.7109375" style="200" customWidth="1"/>
    <col min="12548" max="12548" width="15.7109375" style="200" customWidth="1"/>
    <col min="12549" max="12549" width="12.5703125" style="200" customWidth="1"/>
    <col min="12550" max="12550" width="28.42578125" style="200" customWidth="1"/>
    <col min="12551" max="12551" width="18.7109375" style="200" customWidth="1"/>
    <col min="12552" max="12552" width="1.28515625" style="200" customWidth="1"/>
    <col min="12553" max="12553" width="13.7109375" style="200" customWidth="1"/>
    <col min="12554" max="12800" width="11.42578125" style="200"/>
    <col min="12801" max="12801" width="1" style="200" customWidth="1"/>
    <col min="12802" max="12802" width="3.7109375" style="200" customWidth="1"/>
    <col min="12803" max="12803" width="39.7109375" style="200" customWidth="1"/>
    <col min="12804" max="12804" width="15.7109375" style="200" customWidth="1"/>
    <col min="12805" max="12805" width="12.5703125" style="200" customWidth="1"/>
    <col min="12806" max="12806" width="28.42578125" style="200" customWidth="1"/>
    <col min="12807" max="12807" width="18.7109375" style="200" customWidth="1"/>
    <col min="12808" max="12808" width="1.28515625" style="200" customWidth="1"/>
    <col min="12809" max="12809" width="13.7109375" style="200" customWidth="1"/>
    <col min="12810" max="13056" width="11.42578125" style="200"/>
    <col min="13057" max="13057" width="1" style="200" customWidth="1"/>
    <col min="13058" max="13058" width="3.7109375" style="200" customWidth="1"/>
    <col min="13059" max="13059" width="39.7109375" style="200" customWidth="1"/>
    <col min="13060" max="13060" width="15.7109375" style="200" customWidth="1"/>
    <col min="13061" max="13061" width="12.5703125" style="200" customWidth="1"/>
    <col min="13062" max="13062" width="28.42578125" style="200" customWidth="1"/>
    <col min="13063" max="13063" width="18.7109375" style="200" customWidth="1"/>
    <col min="13064" max="13064" width="1.28515625" style="200" customWidth="1"/>
    <col min="13065" max="13065" width="13.7109375" style="200" customWidth="1"/>
    <col min="13066" max="13312" width="11.42578125" style="200"/>
    <col min="13313" max="13313" width="1" style="200" customWidth="1"/>
    <col min="13314" max="13314" width="3.7109375" style="200" customWidth="1"/>
    <col min="13315" max="13315" width="39.7109375" style="200" customWidth="1"/>
    <col min="13316" max="13316" width="15.7109375" style="200" customWidth="1"/>
    <col min="13317" max="13317" width="12.5703125" style="200" customWidth="1"/>
    <col min="13318" max="13318" width="28.42578125" style="200" customWidth="1"/>
    <col min="13319" max="13319" width="18.7109375" style="200" customWidth="1"/>
    <col min="13320" max="13320" width="1.28515625" style="200" customWidth="1"/>
    <col min="13321" max="13321" width="13.7109375" style="200" customWidth="1"/>
    <col min="13322" max="13568" width="11.42578125" style="200"/>
    <col min="13569" max="13569" width="1" style="200" customWidth="1"/>
    <col min="13570" max="13570" width="3.7109375" style="200" customWidth="1"/>
    <col min="13571" max="13571" width="39.7109375" style="200" customWidth="1"/>
    <col min="13572" max="13572" width="15.7109375" style="200" customWidth="1"/>
    <col min="13573" max="13573" width="12.5703125" style="200" customWidth="1"/>
    <col min="13574" max="13574" width="28.42578125" style="200" customWidth="1"/>
    <col min="13575" max="13575" width="18.7109375" style="200" customWidth="1"/>
    <col min="13576" max="13576" width="1.28515625" style="200" customWidth="1"/>
    <col min="13577" max="13577" width="13.7109375" style="200" customWidth="1"/>
    <col min="13578" max="13824" width="11.42578125" style="200"/>
    <col min="13825" max="13825" width="1" style="200" customWidth="1"/>
    <col min="13826" max="13826" width="3.7109375" style="200" customWidth="1"/>
    <col min="13827" max="13827" width="39.7109375" style="200" customWidth="1"/>
    <col min="13828" max="13828" width="15.7109375" style="200" customWidth="1"/>
    <col min="13829" max="13829" width="12.5703125" style="200" customWidth="1"/>
    <col min="13830" max="13830" width="28.42578125" style="200" customWidth="1"/>
    <col min="13831" max="13831" width="18.7109375" style="200" customWidth="1"/>
    <col min="13832" max="13832" width="1.28515625" style="200" customWidth="1"/>
    <col min="13833" max="13833" width="13.7109375" style="200" customWidth="1"/>
    <col min="13834" max="14080" width="11.42578125" style="200"/>
    <col min="14081" max="14081" width="1" style="200" customWidth="1"/>
    <col min="14082" max="14082" width="3.7109375" style="200" customWidth="1"/>
    <col min="14083" max="14083" width="39.7109375" style="200" customWidth="1"/>
    <col min="14084" max="14084" width="15.7109375" style="200" customWidth="1"/>
    <col min="14085" max="14085" width="12.5703125" style="200" customWidth="1"/>
    <col min="14086" max="14086" width="28.42578125" style="200" customWidth="1"/>
    <col min="14087" max="14087" width="18.7109375" style="200" customWidth="1"/>
    <col min="14088" max="14088" width="1.28515625" style="200" customWidth="1"/>
    <col min="14089" max="14089" width="13.7109375" style="200" customWidth="1"/>
    <col min="14090" max="14336" width="11.42578125" style="200"/>
    <col min="14337" max="14337" width="1" style="200" customWidth="1"/>
    <col min="14338" max="14338" width="3.7109375" style="200" customWidth="1"/>
    <col min="14339" max="14339" width="39.7109375" style="200" customWidth="1"/>
    <col min="14340" max="14340" width="15.7109375" style="200" customWidth="1"/>
    <col min="14341" max="14341" width="12.5703125" style="200" customWidth="1"/>
    <col min="14342" max="14342" width="28.42578125" style="200" customWidth="1"/>
    <col min="14343" max="14343" width="18.7109375" style="200" customWidth="1"/>
    <col min="14344" max="14344" width="1.28515625" style="200" customWidth="1"/>
    <col min="14345" max="14345" width="13.7109375" style="200" customWidth="1"/>
    <col min="14346" max="14592" width="11.42578125" style="200"/>
    <col min="14593" max="14593" width="1" style="200" customWidth="1"/>
    <col min="14594" max="14594" width="3.7109375" style="200" customWidth="1"/>
    <col min="14595" max="14595" width="39.7109375" style="200" customWidth="1"/>
    <col min="14596" max="14596" width="15.7109375" style="200" customWidth="1"/>
    <col min="14597" max="14597" width="12.5703125" style="200" customWidth="1"/>
    <col min="14598" max="14598" width="28.42578125" style="200" customWidth="1"/>
    <col min="14599" max="14599" width="18.7109375" style="200" customWidth="1"/>
    <col min="14600" max="14600" width="1.28515625" style="200" customWidth="1"/>
    <col min="14601" max="14601" width="13.7109375" style="200" customWidth="1"/>
    <col min="14602" max="14848" width="11.42578125" style="200"/>
    <col min="14849" max="14849" width="1" style="200" customWidth="1"/>
    <col min="14850" max="14850" width="3.7109375" style="200" customWidth="1"/>
    <col min="14851" max="14851" width="39.7109375" style="200" customWidth="1"/>
    <col min="14852" max="14852" width="15.7109375" style="200" customWidth="1"/>
    <col min="14853" max="14853" width="12.5703125" style="200" customWidth="1"/>
    <col min="14854" max="14854" width="28.42578125" style="200" customWidth="1"/>
    <col min="14855" max="14855" width="18.7109375" style="200" customWidth="1"/>
    <col min="14856" max="14856" width="1.28515625" style="200" customWidth="1"/>
    <col min="14857" max="14857" width="13.7109375" style="200" customWidth="1"/>
    <col min="14858" max="15104" width="11.42578125" style="200"/>
    <col min="15105" max="15105" width="1" style="200" customWidth="1"/>
    <col min="15106" max="15106" width="3.7109375" style="200" customWidth="1"/>
    <col min="15107" max="15107" width="39.7109375" style="200" customWidth="1"/>
    <col min="15108" max="15108" width="15.7109375" style="200" customWidth="1"/>
    <col min="15109" max="15109" width="12.5703125" style="200" customWidth="1"/>
    <col min="15110" max="15110" width="28.42578125" style="200" customWidth="1"/>
    <col min="15111" max="15111" width="18.7109375" style="200" customWidth="1"/>
    <col min="15112" max="15112" width="1.28515625" style="200" customWidth="1"/>
    <col min="15113" max="15113" width="13.7109375" style="200" customWidth="1"/>
    <col min="15114" max="15360" width="11.42578125" style="200"/>
    <col min="15361" max="15361" width="1" style="200" customWidth="1"/>
    <col min="15362" max="15362" width="3.7109375" style="200" customWidth="1"/>
    <col min="15363" max="15363" width="39.7109375" style="200" customWidth="1"/>
    <col min="15364" max="15364" width="15.7109375" style="200" customWidth="1"/>
    <col min="15365" max="15365" width="12.5703125" style="200" customWidth="1"/>
    <col min="15366" max="15366" width="28.42578125" style="200" customWidth="1"/>
    <col min="15367" max="15367" width="18.7109375" style="200" customWidth="1"/>
    <col min="15368" max="15368" width="1.28515625" style="200" customWidth="1"/>
    <col min="15369" max="15369" width="13.7109375" style="200" customWidth="1"/>
    <col min="15370" max="15616" width="11.42578125" style="200"/>
    <col min="15617" max="15617" width="1" style="200" customWidth="1"/>
    <col min="15618" max="15618" width="3.7109375" style="200" customWidth="1"/>
    <col min="15619" max="15619" width="39.7109375" style="200" customWidth="1"/>
    <col min="15620" max="15620" width="15.7109375" style="200" customWidth="1"/>
    <col min="15621" max="15621" width="12.5703125" style="200" customWidth="1"/>
    <col min="15622" max="15622" width="28.42578125" style="200" customWidth="1"/>
    <col min="15623" max="15623" width="18.7109375" style="200" customWidth="1"/>
    <col min="15624" max="15624" width="1.28515625" style="200" customWidth="1"/>
    <col min="15625" max="15625" width="13.7109375" style="200" customWidth="1"/>
    <col min="15626" max="15872" width="11.42578125" style="200"/>
    <col min="15873" max="15873" width="1" style="200" customWidth="1"/>
    <col min="15874" max="15874" width="3.7109375" style="200" customWidth="1"/>
    <col min="15875" max="15875" width="39.7109375" style="200" customWidth="1"/>
    <col min="15876" max="15876" width="15.7109375" style="200" customWidth="1"/>
    <col min="15877" max="15877" width="12.5703125" style="200" customWidth="1"/>
    <col min="15878" max="15878" width="28.42578125" style="200" customWidth="1"/>
    <col min="15879" max="15879" width="18.7109375" style="200" customWidth="1"/>
    <col min="15880" max="15880" width="1.28515625" style="200" customWidth="1"/>
    <col min="15881" max="15881" width="13.7109375" style="200" customWidth="1"/>
    <col min="15882" max="16128" width="11.42578125" style="200"/>
    <col min="16129" max="16129" width="1" style="200" customWidth="1"/>
    <col min="16130" max="16130" width="3.7109375" style="200" customWidth="1"/>
    <col min="16131" max="16131" width="39.7109375" style="200" customWidth="1"/>
    <col min="16132" max="16132" width="15.7109375" style="200" customWidth="1"/>
    <col min="16133" max="16133" width="12.5703125" style="200" customWidth="1"/>
    <col min="16134" max="16134" width="28.42578125" style="200" customWidth="1"/>
    <col min="16135" max="16135" width="18.7109375" style="200" customWidth="1"/>
    <col min="16136" max="16136" width="1.28515625" style="200" customWidth="1"/>
    <col min="16137" max="16137" width="13.7109375" style="200" customWidth="1"/>
    <col min="16138" max="16384" width="11.42578125" style="200"/>
  </cols>
  <sheetData>
    <row r="1" spans="2:9" ht="12.75">
      <c r="B1" s="197"/>
      <c r="C1" s="10"/>
      <c r="D1" s="198"/>
      <c r="E1" s="198"/>
      <c r="F1" s="199"/>
      <c r="G1" s="10"/>
    </row>
    <row r="2" spans="2:9" ht="12.75" customHeight="1">
      <c r="B2" s="1667" t="s">
        <v>301</v>
      </c>
      <c r="C2" s="1667"/>
      <c r="D2" s="1667"/>
      <c r="E2" s="1667"/>
      <c r="F2" s="1667"/>
      <c r="G2" s="1667"/>
    </row>
    <row r="3" spans="2:9" ht="12.75" customHeight="1">
      <c r="B3" s="1667"/>
      <c r="C3" s="1667"/>
      <c r="D3" s="1667"/>
      <c r="E3" s="1667"/>
      <c r="F3" s="1667"/>
      <c r="G3" s="1667"/>
    </row>
    <row r="4" spans="2:9" ht="12.75" customHeight="1">
      <c r="B4" s="1667"/>
      <c r="C4" s="1667"/>
      <c r="D4" s="1667"/>
      <c r="E4" s="1667"/>
      <c r="F4" s="1667"/>
      <c r="G4" s="1667"/>
    </row>
    <row r="5" spans="2:9" ht="15">
      <c r="C5" s="201" t="s">
        <v>302</v>
      </c>
      <c r="D5" s="202">
        <v>2</v>
      </c>
      <c r="E5" s="203"/>
      <c r="F5" s="204" t="s">
        <v>127</v>
      </c>
      <c r="G5" s="205" t="e">
        <f>+G6*1.29</f>
        <v>#REF!</v>
      </c>
      <c r="I5" s="206"/>
    </row>
    <row r="6" spans="2:9" ht="12.75">
      <c r="C6" s="207"/>
      <c r="D6" s="208"/>
      <c r="E6" s="209"/>
      <c r="F6" s="204" t="s">
        <v>303</v>
      </c>
      <c r="G6" s="210" t="e">
        <f>+PRESU!G50</f>
        <v>#REF!</v>
      </c>
    </row>
    <row r="8" spans="2:9">
      <c r="B8" s="211" t="s">
        <v>304</v>
      </c>
      <c r="C8" s="212" t="s">
        <v>305</v>
      </c>
      <c r="D8" s="213"/>
      <c r="E8" s="214"/>
      <c r="F8" s="215"/>
      <c r="G8" s="216"/>
    </row>
    <row r="9" spans="2:9">
      <c r="B9" s="208"/>
      <c r="C9" s="209"/>
    </row>
    <row r="10" spans="2:9" ht="22.5">
      <c r="B10" s="211"/>
      <c r="C10" s="219" t="s">
        <v>306</v>
      </c>
      <c r="D10" s="220" t="s">
        <v>307</v>
      </c>
      <c r="E10" s="221" t="s">
        <v>308</v>
      </c>
      <c r="F10" s="222" t="s">
        <v>309</v>
      </c>
      <c r="G10" s="220" t="s">
        <v>310</v>
      </c>
    </row>
    <row r="12" spans="2:9">
      <c r="B12" s="223">
        <v>1.1000000000000001</v>
      </c>
      <c r="C12" s="224" t="s">
        <v>311</v>
      </c>
      <c r="D12" s="225">
        <v>4000000</v>
      </c>
      <c r="E12" s="226">
        <v>0.2</v>
      </c>
      <c r="F12" s="227"/>
      <c r="G12" s="228">
        <f t="shared" ref="G12:G20" si="0">F12*E12*D12</f>
        <v>0</v>
      </c>
    </row>
    <row r="13" spans="2:9">
      <c r="B13" s="229">
        <f>+B12+0.1</f>
        <v>1.2000000000000002</v>
      </c>
      <c r="C13" s="334" t="s">
        <v>312</v>
      </c>
      <c r="D13" s="230">
        <v>2800000</v>
      </c>
      <c r="E13" s="231">
        <v>1</v>
      </c>
      <c r="F13" s="232">
        <v>2</v>
      </c>
      <c r="G13" s="233">
        <f t="shared" si="0"/>
        <v>5600000</v>
      </c>
    </row>
    <row r="14" spans="2:9">
      <c r="B14" s="223">
        <f>+B13+0.1</f>
        <v>1.3000000000000003</v>
      </c>
      <c r="C14" s="335" t="s">
        <v>313</v>
      </c>
      <c r="D14" s="235">
        <v>1800000</v>
      </c>
      <c r="E14" s="236">
        <v>1</v>
      </c>
      <c r="F14" s="336"/>
      <c r="G14" s="235">
        <f t="shared" si="0"/>
        <v>0</v>
      </c>
    </row>
    <row r="15" spans="2:9">
      <c r="B15" s="229">
        <f>+B14+0.1</f>
        <v>1.4000000000000004</v>
      </c>
      <c r="C15" s="334" t="s">
        <v>314</v>
      </c>
      <c r="D15" s="235">
        <v>1800000</v>
      </c>
      <c r="E15" s="231">
        <v>0</v>
      </c>
      <c r="F15" s="337"/>
      <c r="G15" s="230">
        <f t="shared" si="0"/>
        <v>0</v>
      </c>
    </row>
    <row r="16" spans="2:9">
      <c r="B16" s="229">
        <v>1.5</v>
      </c>
      <c r="C16" s="334" t="s">
        <v>315</v>
      </c>
      <c r="D16" s="235">
        <v>1800000</v>
      </c>
      <c r="E16" s="231">
        <v>0</v>
      </c>
      <c r="F16" s="337"/>
      <c r="G16" s="230">
        <f t="shared" si="0"/>
        <v>0</v>
      </c>
    </row>
    <row r="17" spans="2:7">
      <c r="B17" s="229">
        <v>1.6</v>
      </c>
      <c r="C17" s="334" t="s">
        <v>316</v>
      </c>
      <c r="D17" s="235">
        <v>1800000</v>
      </c>
      <c r="E17" s="231">
        <v>0</v>
      </c>
      <c r="F17" s="337"/>
      <c r="G17" s="230">
        <f t="shared" si="0"/>
        <v>0</v>
      </c>
    </row>
    <row r="18" spans="2:7">
      <c r="B18" s="229">
        <v>1.7</v>
      </c>
      <c r="C18" s="334" t="s">
        <v>317</v>
      </c>
      <c r="D18" s="235">
        <v>1800000</v>
      </c>
      <c r="E18" s="231">
        <v>0</v>
      </c>
      <c r="F18" s="337"/>
      <c r="G18" s="230">
        <f t="shared" si="0"/>
        <v>0</v>
      </c>
    </row>
    <row r="19" spans="2:7">
      <c r="B19" s="229">
        <v>1.8</v>
      </c>
      <c r="C19" s="238" t="s">
        <v>318</v>
      </c>
      <c r="D19" s="262">
        <v>1800000</v>
      </c>
      <c r="E19" s="240">
        <v>0.1</v>
      </c>
      <c r="F19" s="241"/>
      <c r="G19" s="239">
        <f>F19*E19*D19</f>
        <v>0</v>
      </c>
    </row>
    <row r="20" spans="2:7" hidden="1">
      <c r="B20" s="223">
        <v>1.9</v>
      </c>
      <c r="C20" s="242" t="s">
        <v>319</v>
      </c>
      <c r="D20" s="243">
        <v>2200000</v>
      </c>
      <c r="E20" s="244"/>
      <c r="F20" s="245">
        <f t="shared" ref="F20" si="1">+$D$5</f>
        <v>2</v>
      </c>
      <c r="G20" s="243">
        <f t="shared" si="0"/>
        <v>0</v>
      </c>
    </row>
    <row r="22" spans="2:7">
      <c r="C22" s="246" t="s">
        <v>320</v>
      </c>
      <c r="D22" s="213"/>
      <c r="E22" s="214"/>
      <c r="F22" s="247"/>
      <c r="G22" s="248">
        <f>SUM(G12:G20)</f>
        <v>5600000</v>
      </c>
    </row>
    <row r="23" spans="2:7">
      <c r="C23" s="246" t="s">
        <v>321</v>
      </c>
      <c r="D23" s="213"/>
      <c r="E23" s="214"/>
      <c r="F23" s="249">
        <v>0.66290000000000004</v>
      </c>
      <c r="G23" s="248">
        <f>F23*G22</f>
        <v>3712240.0000000005</v>
      </c>
    </row>
    <row r="24" spans="2:7">
      <c r="C24" s="246" t="s">
        <v>322</v>
      </c>
      <c r="D24" s="213"/>
      <c r="E24" s="214"/>
      <c r="F24" s="247"/>
      <c r="G24" s="248">
        <f>G23+G22</f>
        <v>9312240</v>
      </c>
    </row>
    <row r="26" spans="2:7" hidden="1">
      <c r="B26" s="211" t="s">
        <v>323</v>
      </c>
      <c r="C26" s="212" t="s">
        <v>324</v>
      </c>
      <c r="D26" s="213"/>
      <c r="E26" s="214"/>
      <c r="F26" s="215"/>
      <c r="G26" s="216"/>
    </row>
    <row r="27" spans="2:7" hidden="1"/>
    <row r="28" spans="2:7" hidden="1">
      <c r="B28" s="250">
        <v>2.1</v>
      </c>
      <c r="C28" s="251" t="s">
        <v>325</v>
      </c>
      <c r="D28" s="225">
        <f>737717+83140</f>
        <v>820857</v>
      </c>
      <c r="E28" s="252">
        <v>0</v>
      </c>
      <c r="F28" s="253">
        <f>+$D$5</f>
        <v>2</v>
      </c>
      <c r="G28" s="225">
        <f>F28*E28*D28</f>
        <v>0</v>
      </c>
    </row>
    <row r="29" spans="2:7" hidden="1">
      <c r="B29" s="254">
        <v>2.2000000000000002</v>
      </c>
      <c r="C29" s="255" t="s">
        <v>326</v>
      </c>
      <c r="D29" s="230">
        <f>+D28</f>
        <v>820857</v>
      </c>
      <c r="E29" s="256">
        <v>0</v>
      </c>
      <c r="F29" s="218">
        <f>+$D$5</f>
        <v>2</v>
      </c>
      <c r="G29" s="230">
        <f>F29*E29*D29</f>
        <v>0</v>
      </c>
    </row>
    <row r="30" spans="2:7" hidden="1">
      <c r="B30" s="257">
        <v>2.2999999999999998</v>
      </c>
      <c r="C30" s="258" t="s">
        <v>327</v>
      </c>
      <c r="D30" s="235">
        <f>+D29</f>
        <v>820857</v>
      </c>
      <c r="E30" s="259">
        <v>0</v>
      </c>
      <c r="F30" s="237">
        <f>+$D$5</f>
        <v>2</v>
      </c>
      <c r="G30" s="235">
        <f>F30*E30*D30</f>
        <v>0</v>
      </c>
    </row>
    <row r="31" spans="2:7" hidden="1">
      <c r="B31" s="254">
        <v>2.4</v>
      </c>
      <c r="C31" s="255" t="s">
        <v>328</v>
      </c>
      <c r="D31" s="230">
        <v>2500000</v>
      </c>
      <c r="E31" s="256">
        <v>0</v>
      </c>
      <c r="F31" s="218">
        <f>+$D$5</f>
        <v>2</v>
      </c>
      <c r="G31" s="230">
        <f>F31*E31*D31</f>
        <v>0</v>
      </c>
    </row>
    <row r="32" spans="2:7" hidden="1">
      <c r="B32" s="260">
        <v>2.5</v>
      </c>
      <c r="C32" s="261" t="s">
        <v>329</v>
      </c>
      <c r="D32" s="262">
        <f>+D30</f>
        <v>820857</v>
      </c>
      <c r="E32" s="263">
        <v>0</v>
      </c>
      <c r="F32" s="264">
        <f>+$D$5</f>
        <v>2</v>
      </c>
      <c r="G32" s="262">
        <f>F32*E32*D32</f>
        <v>0</v>
      </c>
    </row>
    <row r="33" spans="2:9" hidden="1"/>
    <row r="34" spans="2:9" hidden="1">
      <c r="C34" s="246" t="s">
        <v>320</v>
      </c>
      <c r="D34" s="213"/>
      <c r="E34" s="214"/>
      <c r="F34" s="247"/>
      <c r="G34" s="248">
        <f>SUM(G28:G32)</f>
        <v>0</v>
      </c>
    </row>
    <row r="35" spans="2:9" hidden="1">
      <c r="C35" s="246" t="s">
        <v>321</v>
      </c>
      <c r="D35" s="213"/>
      <c r="E35" s="214"/>
      <c r="F35" s="249">
        <v>0.66290000000000004</v>
      </c>
      <c r="G35" s="248">
        <f>F35*G34</f>
        <v>0</v>
      </c>
    </row>
    <row r="36" spans="2:9" hidden="1">
      <c r="C36" s="246" t="s">
        <v>322</v>
      </c>
      <c r="D36" s="213"/>
      <c r="E36" s="214"/>
      <c r="F36" s="247"/>
      <c r="G36" s="248">
        <f>G35+G34</f>
        <v>0</v>
      </c>
    </row>
    <row r="38" spans="2:9">
      <c r="B38" s="211" t="s">
        <v>330</v>
      </c>
      <c r="C38" s="212" t="s">
        <v>331</v>
      </c>
      <c r="D38" s="213"/>
      <c r="E38" s="214"/>
      <c r="F38" s="215"/>
      <c r="G38" s="216"/>
    </row>
    <row r="40" spans="2:9">
      <c r="B40" s="223">
        <v>3.1</v>
      </c>
      <c r="C40" s="265" t="s">
        <v>332</v>
      </c>
      <c r="D40" s="243" t="e">
        <f>+G5*0.007</f>
        <v>#REF!</v>
      </c>
      <c r="E40" s="266">
        <v>1</v>
      </c>
      <c r="F40" s="267"/>
      <c r="G40" s="243" t="e">
        <f>+D40</f>
        <v>#REF!</v>
      </c>
    </row>
    <row r="42" spans="2:9">
      <c r="C42" s="246" t="s">
        <v>333</v>
      </c>
      <c r="D42" s="213"/>
      <c r="E42" s="214"/>
      <c r="F42" s="247"/>
      <c r="G42" s="248" t="e">
        <f>SUM(G40:G40)</f>
        <v>#REF!</v>
      </c>
      <c r="I42" s="268"/>
    </row>
    <row r="44" spans="2:9">
      <c r="B44" s="211" t="s">
        <v>334</v>
      </c>
      <c r="C44" s="212" t="s">
        <v>335</v>
      </c>
      <c r="D44" s="213"/>
      <c r="E44" s="214"/>
      <c r="F44" s="215"/>
      <c r="G44" s="216"/>
    </row>
    <row r="46" spans="2:9" hidden="1">
      <c r="B46" s="269">
        <v>4.0999999999999996</v>
      </c>
      <c r="C46" s="270" t="s">
        <v>336</v>
      </c>
      <c r="D46" s="271" t="e">
        <f>+$G$5</f>
        <v>#REF!</v>
      </c>
      <c r="E46" s="272"/>
      <c r="F46" s="273"/>
      <c r="G46" s="274" t="e">
        <f t="shared" ref="G46:G53" si="2">+E46*D46</f>
        <v>#REF!</v>
      </c>
    </row>
    <row r="47" spans="2:9">
      <c r="B47" s="250">
        <f>+B46+0.1</f>
        <v>4.1999999999999993</v>
      </c>
      <c r="C47" s="224" t="s">
        <v>337</v>
      </c>
      <c r="D47" s="275" t="e">
        <f>+$G$5</f>
        <v>#REF!</v>
      </c>
      <c r="E47" s="276">
        <v>3.5000000000000003E-2</v>
      </c>
      <c r="F47" s="277"/>
      <c r="G47" s="225" t="e">
        <f t="shared" si="2"/>
        <v>#REF!</v>
      </c>
    </row>
    <row r="48" spans="2:9" hidden="1">
      <c r="B48" s="257">
        <f>+B47+0.1</f>
        <v>4.2999999999999989</v>
      </c>
      <c r="C48" s="234" t="s">
        <v>338</v>
      </c>
      <c r="D48" s="278" t="e">
        <f>+$G$5</f>
        <v>#REF!</v>
      </c>
      <c r="E48" s="279">
        <v>0.04</v>
      </c>
      <c r="F48" s="280"/>
      <c r="G48" s="230">
        <v>0</v>
      </c>
    </row>
    <row r="49" spans="2:9" hidden="1">
      <c r="B49" s="257">
        <f>+B48+0.1</f>
        <v>4.3999999999999986</v>
      </c>
      <c r="C49" s="234" t="s">
        <v>339</v>
      </c>
      <c r="D49" s="278" t="e">
        <f>+$G$5</f>
        <v>#REF!</v>
      </c>
      <c r="E49" s="279"/>
      <c r="F49" s="280"/>
      <c r="G49" s="230" t="e">
        <f t="shared" si="2"/>
        <v>#REF!</v>
      </c>
    </row>
    <row r="50" spans="2:9" hidden="1">
      <c r="B50" s="257">
        <f>+B49+0.1</f>
        <v>4.4999999999999982</v>
      </c>
      <c r="C50" s="234" t="s">
        <v>340</v>
      </c>
      <c r="D50" s="278" t="e">
        <f>+D49</f>
        <v>#REF!</v>
      </c>
      <c r="E50" s="279">
        <v>4.0000000000000001E-3</v>
      </c>
      <c r="F50" s="280"/>
      <c r="G50" s="230">
        <v>0</v>
      </c>
    </row>
    <row r="51" spans="2:9">
      <c r="B51" s="257">
        <f>+B50+0.1</f>
        <v>4.5999999999999979</v>
      </c>
      <c r="C51" s="234" t="s">
        <v>341</v>
      </c>
      <c r="D51" s="278" t="e">
        <f>+$G$5</f>
        <v>#REF!</v>
      </c>
      <c r="E51" s="279">
        <v>0.05</v>
      </c>
      <c r="F51" s="281"/>
      <c r="G51" s="235" t="e">
        <f t="shared" si="2"/>
        <v>#REF!</v>
      </c>
    </row>
    <row r="52" spans="2:9">
      <c r="B52" s="257">
        <v>4.7</v>
      </c>
      <c r="C52" s="234" t="s">
        <v>342</v>
      </c>
      <c r="D52" s="278" t="e">
        <f>+$G$5</f>
        <v>#REF!</v>
      </c>
      <c r="E52" s="279">
        <v>0.02</v>
      </c>
      <c r="F52" s="281"/>
      <c r="G52" s="235" t="e">
        <f t="shared" si="2"/>
        <v>#REF!</v>
      </c>
    </row>
    <row r="53" spans="2:9">
      <c r="B53" s="260">
        <v>4.8</v>
      </c>
      <c r="C53" s="282" t="s">
        <v>343</v>
      </c>
      <c r="D53" s="283" t="e">
        <f>+$G$5</f>
        <v>#REF!</v>
      </c>
      <c r="E53" s="284"/>
      <c r="F53" s="285"/>
      <c r="G53" s="262" t="e">
        <f t="shared" si="2"/>
        <v>#REF!</v>
      </c>
    </row>
    <row r="54" spans="2:9">
      <c r="B54" s="286"/>
      <c r="C54" s="238"/>
      <c r="D54" s="287"/>
      <c r="E54" s="288"/>
      <c r="F54" s="289"/>
      <c r="G54" s="239"/>
    </row>
    <row r="55" spans="2:9">
      <c r="C55" s="246" t="s">
        <v>344</v>
      </c>
      <c r="D55" s="213"/>
      <c r="E55" s="214"/>
      <c r="F55" s="247"/>
      <c r="G55" s="248" t="e">
        <f>SUM(G46:G53)</f>
        <v>#REF!</v>
      </c>
      <c r="I55" s="268"/>
    </row>
    <row r="57" spans="2:9">
      <c r="B57" s="211" t="s">
        <v>345</v>
      </c>
      <c r="C57" s="212" t="s">
        <v>346</v>
      </c>
      <c r="D57" s="213"/>
      <c r="E57" s="214"/>
      <c r="F57" s="215"/>
      <c r="G57" s="216"/>
    </row>
    <row r="59" spans="2:9" hidden="1">
      <c r="B59" s="250">
        <v>5.0999999999999996</v>
      </c>
      <c r="C59" s="224" t="s">
        <v>347</v>
      </c>
      <c r="D59" s="290">
        <v>50000</v>
      </c>
      <c r="E59" s="291"/>
      <c r="F59" s="227">
        <f t="shared" ref="F59:F62" si="3">+$D$5</f>
        <v>2</v>
      </c>
      <c r="G59" s="225">
        <f t="shared" ref="G59:G64" si="4">F59*E59*D59</f>
        <v>0</v>
      </c>
    </row>
    <row r="60" spans="2:9" hidden="1">
      <c r="B60" s="257">
        <v>5.2</v>
      </c>
      <c r="C60" s="234" t="s">
        <v>348</v>
      </c>
      <c r="D60" s="292">
        <v>80000</v>
      </c>
      <c r="E60" s="236"/>
      <c r="F60" s="281">
        <f t="shared" si="3"/>
        <v>2</v>
      </c>
      <c r="G60" s="235">
        <f t="shared" si="4"/>
        <v>0</v>
      </c>
    </row>
    <row r="61" spans="2:9" hidden="1">
      <c r="B61" s="257">
        <v>5.3</v>
      </c>
      <c r="C61" s="234" t="s">
        <v>349</v>
      </c>
      <c r="D61" s="292">
        <v>80000</v>
      </c>
      <c r="E61" s="236"/>
      <c r="F61" s="281">
        <f t="shared" si="3"/>
        <v>2</v>
      </c>
      <c r="G61" s="235">
        <f t="shared" si="4"/>
        <v>0</v>
      </c>
    </row>
    <row r="62" spans="2:9" hidden="1">
      <c r="B62" s="257">
        <v>5.4</v>
      </c>
      <c r="C62" s="234" t="s">
        <v>350</v>
      </c>
      <c r="D62" s="292">
        <v>30000</v>
      </c>
      <c r="E62" s="236"/>
      <c r="F62" s="281">
        <f t="shared" si="3"/>
        <v>2</v>
      </c>
      <c r="G62" s="235">
        <f t="shared" si="4"/>
        <v>0</v>
      </c>
    </row>
    <row r="63" spans="2:9" hidden="1">
      <c r="B63" s="250">
        <v>5.5</v>
      </c>
      <c r="C63" s="224" t="s">
        <v>351</v>
      </c>
      <c r="D63" s="290">
        <v>306782</v>
      </c>
      <c r="E63" s="291">
        <v>1</v>
      </c>
      <c r="F63" s="227">
        <v>4</v>
      </c>
      <c r="G63" s="225"/>
    </row>
    <row r="64" spans="2:9">
      <c r="B64" s="223">
        <v>5.6</v>
      </c>
      <c r="C64" s="315" t="s">
        <v>352</v>
      </c>
      <c r="D64" s="243">
        <v>1700000</v>
      </c>
      <c r="E64" s="244">
        <v>2</v>
      </c>
      <c r="F64" s="267"/>
      <c r="G64" s="243">
        <f t="shared" si="4"/>
        <v>0</v>
      </c>
    </row>
    <row r="66" spans="2:9">
      <c r="C66" s="293" t="s">
        <v>353</v>
      </c>
      <c r="D66" s="294"/>
      <c r="E66" s="270"/>
      <c r="F66" s="295"/>
      <c r="G66" s="248">
        <f>SUM(G59:G65)</f>
        <v>0</v>
      </c>
    </row>
    <row r="67" spans="2:9">
      <c r="C67" s="255" t="s">
        <v>354</v>
      </c>
      <c r="F67" s="296"/>
      <c r="G67" s="248">
        <f>F67*G66</f>
        <v>0</v>
      </c>
    </row>
    <row r="68" spans="2:9">
      <c r="C68" s="297" t="s">
        <v>355</v>
      </c>
      <c r="D68" s="287"/>
      <c r="E68" s="238"/>
      <c r="F68" s="298"/>
      <c r="G68" s="248">
        <f>G67+G66</f>
        <v>0</v>
      </c>
    </row>
    <row r="69" spans="2:9">
      <c r="F69" s="299"/>
    </row>
    <row r="70" spans="2:9">
      <c r="B70" s="211">
        <v>6</v>
      </c>
      <c r="C70" s="212" t="s">
        <v>356</v>
      </c>
      <c r="D70" s="213"/>
      <c r="E70" s="214"/>
      <c r="F70" s="215"/>
      <c r="G70" s="216"/>
    </row>
    <row r="72" spans="2:9">
      <c r="B72" s="223">
        <v>6.1</v>
      </c>
      <c r="C72" s="265" t="s">
        <v>357</v>
      </c>
      <c r="D72" s="300">
        <v>2000000</v>
      </c>
      <c r="E72" s="244">
        <v>1</v>
      </c>
      <c r="F72" s="267"/>
      <c r="G72" s="243">
        <f>F72*E72*D72</f>
        <v>0</v>
      </c>
    </row>
    <row r="73" spans="2:9" hidden="1">
      <c r="B73" s="301">
        <v>6.2</v>
      </c>
      <c r="C73" s="238" t="s">
        <v>358</v>
      </c>
      <c r="D73" s="302">
        <v>150000</v>
      </c>
      <c r="E73" s="240">
        <v>0</v>
      </c>
      <c r="F73" s="303">
        <f>+$D$5</f>
        <v>2</v>
      </c>
      <c r="G73" s="239">
        <f>F73*E73*D73</f>
        <v>0</v>
      </c>
    </row>
    <row r="75" spans="2:9">
      <c r="C75" s="246" t="s">
        <v>359</v>
      </c>
      <c r="D75" s="213"/>
      <c r="E75" s="214"/>
      <c r="F75" s="215"/>
      <c r="G75" s="304">
        <f>SUM(G72:G74)</f>
        <v>0</v>
      </c>
    </row>
    <row r="76" spans="2:9">
      <c r="F76" s="299"/>
    </row>
    <row r="77" spans="2:9">
      <c r="B77" s="305">
        <v>1</v>
      </c>
      <c r="C77" s="212" t="s">
        <v>360</v>
      </c>
      <c r="D77" s="213"/>
      <c r="E77" s="214"/>
      <c r="F77" s="306" t="e">
        <f>G77/G6</f>
        <v>#REF!</v>
      </c>
      <c r="G77" s="307" t="e">
        <f>+G24+G42+G55+G68+G75</f>
        <v>#REF!</v>
      </c>
      <c r="I77" s="308"/>
    </row>
    <row r="78" spans="2:9">
      <c r="B78" s="309"/>
      <c r="F78" s="310"/>
      <c r="G78" s="311"/>
    </row>
    <row r="79" spans="2:9">
      <c r="B79" s="309">
        <v>2</v>
      </c>
      <c r="C79" s="212" t="s">
        <v>361</v>
      </c>
      <c r="D79" s="213"/>
      <c r="E79" s="214"/>
      <c r="F79" s="306">
        <v>0.04</v>
      </c>
      <c r="G79" s="307" t="e">
        <f>+ROUND(G6*F79,0)</f>
        <v>#REF!</v>
      </c>
    </row>
    <row r="80" spans="2:9">
      <c r="F80" s="312"/>
    </row>
    <row r="81" spans="2:7" ht="12.75">
      <c r="B81" s="246"/>
      <c r="C81" s="212" t="s">
        <v>362</v>
      </c>
      <c r="D81" s="213"/>
      <c r="E81" s="214"/>
      <c r="F81" s="313" t="e">
        <f>+ROUND(F77+F79,2)</f>
        <v>#REF!</v>
      </c>
      <c r="G81" s="307" t="e">
        <f>ROUND(F81*G6,0)</f>
        <v>#REF!</v>
      </c>
    </row>
    <row r="84" spans="2:7" ht="12.75">
      <c r="C84" s="314"/>
      <c r="D84" s="287"/>
    </row>
    <row r="85" spans="2:7" ht="12.75">
      <c r="C85" s="1668" t="s">
        <v>363</v>
      </c>
      <c r="D85" s="1668"/>
    </row>
  </sheetData>
  <mergeCells count="2">
    <mergeCell ref="B2:G4"/>
    <mergeCell ref="C85:D85"/>
  </mergeCells>
  <pageMargins left="0.7" right="0.7" top="0.75" bottom="0.75" header="0.3" footer="0.3"/>
  <pageSetup paperSize="9" scale="73" orientation="portrait" horizontalDpi="360" verticalDpi="360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>
    <tabColor rgb="FF92D050"/>
  </sheetPr>
  <dimension ref="B1:G53"/>
  <sheetViews>
    <sheetView zoomScaleNormal="100" workbookViewId="0">
      <selection activeCell="E3" sqref="E3:G5"/>
    </sheetView>
  </sheetViews>
  <sheetFormatPr baseColWidth="10" defaultRowHeight="15"/>
  <cols>
    <col min="3" max="3" width="59.28515625" customWidth="1"/>
    <col min="4" max="4" width="13" customWidth="1"/>
    <col min="5" max="5" width="14.42578125" customWidth="1"/>
    <col min="6" max="6" width="24.5703125" customWidth="1"/>
    <col min="7" max="7" width="21.85546875" customWidth="1"/>
    <col min="11" max="11" width="74.28515625" customWidth="1"/>
  </cols>
  <sheetData>
    <row r="1" spans="2:7" ht="15.75" thickBot="1"/>
    <row r="2" spans="2:7" ht="15.75">
      <c r="B2" s="1674"/>
      <c r="C2" s="1675"/>
      <c r="D2" s="1680" t="s">
        <v>112</v>
      </c>
      <c r="E2" s="1681"/>
      <c r="F2" s="33"/>
      <c r="G2" s="34"/>
    </row>
    <row r="3" spans="2:7">
      <c r="B3" s="1676"/>
      <c r="C3" s="1677"/>
      <c r="D3" s="1682" t="s">
        <v>113</v>
      </c>
      <c r="E3" s="1699" t="s">
        <v>386</v>
      </c>
      <c r="F3" s="1700"/>
      <c r="G3" s="1701"/>
    </row>
    <row r="4" spans="2:7">
      <c r="B4" s="1676"/>
      <c r="C4" s="1677"/>
      <c r="D4" s="1683"/>
      <c r="E4" s="1702"/>
      <c r="F4" s="1703"/>
      <c r="G4" s="1704"/>
    </row>
    <row r="5" spans="2:7">
      <c r="B5" s="1676"/>
      <c r="C5" s="1677"/>
      <c r="D5" s="1684"/>
      <c r="E5" s="1705"/>
      <c r="F5" s="1706"/>
      <c r="G5" s="1707"/>
    </row>
    <row r="6" spans="2:7">
      <c r="B6" s="1676"/>
      <c r="C6" s="1677"/>
      <c r="D6" s="1694" t="s">
        <v>114</v>
      </c>
      <c r="E6" s="1695"/>
      <c r="F6" s="1695"/>
      <c r="G6" s="35" t="e">
        <f>+G53</f>
        <v>#REF!</v>
      </c>
    </row>
    <row r="7" spans="2:7" ht="15.75">
      <c r="B7" s="1676"/>
      <c r="C7" s="1677"/>
      <c r="D7" s="1696" t="s">
        <v>115</v>
      </c>
      <c r="E7" s="1697"/>
      <c r="F7" s="1697"/>
      <c r="G7" s="35">
        <v>0</v>
      </c>
    </row>
    <row r="8" spans="2:7" ht="15.75">
      <c r="B8" s="1676"/>
      <c r="C8" s="1677"/>
      <c r="D8" s="1696" t="s">
        <v>116</v>
      </c>
      <c r="E8" s="1697"/>
      <c r="F8" s="1697"/>
      <c r="G8" s="36" t="e">
        <f>G6</f>
        <v>#REF!</v>
      </c>
    </row>
    <row r="9" spans="2:7" ht="15.75">
      <c r="B9" s="1676"/>
      <c r="C9" s="1677"/>
      <c r="D9" s="1696" t="s">
        <v>117</v>
      </c>
      <c r="E9" s="1697"/>
      <c r="F9" s="1697"/>
      <c r="G9" s="1698"/>
    </row>
    <row r="10" spans="2:7" ht="16.5" thickBot="1">
      <c r="B10" s="1678"/>
      <c r="C10" s="1679"/>
      <c r="D10" s="1669" t="s">
        <v>118</v>
      </c>
      <c r="E10" s="1670"/>
      <c r="F10" s="1672" t="s">
        <v>119</v>
      </c>
      <c r="G10" s="1673"/>
    </row>
    <row r="11" spans="2:7" ht="16.5" thickBot="1">
      <c r="B11" s="37"/>
      <c r="C11" s="38"/>
      <c r="D11" s="38"/>
      <c r="E11" s="38"/>
      <c r="F11" s="38"/>
      <c r="G11" s="38"/>
    </row>
    <row r="12" spans="2:7" ht="15.75">
      <c r="B12" s="176" t="s">
        <v>72</v>
      </c>
      <c r="C12" s="177" t="s">
        <v>120</v>
      </c>
      <c r="D12" s="177" t="s">
        <v>0</v>
      </c>
      <c r="E12" s="177" t="s">
        <v>1</v>
      </c>
      <c r="F12" s="177" t="s">
        <v>121</v>
      </c>
      <c r="G12" s="178" t="s">
        <v>122</v>
      </c>
    </row>
    <row r="13" spans="2:7" s="1" customFormat="1">
      <c r="B13" s="39">
        <v>1</v>
      </c>
      <c r="C13" s="8" t="s">
        <v>378</v>
      </c>
      <c r="D13" s="3" t="s">
        <v>80</v>
      </c>
      <c r="E13" s="4">
        <f>+'2'!K14+'2'!K13</f>
        <v>21</v>
      </c>
      <c r="F13" s="5" t="e">
        <f>+'APUS OCS 130'!F49</f>
        <v>#REF!</v>
      </c>
      <c r="G13" s="7" t="e">
        <f>ROUND((E13*F13),2)</f>
        <v>#REF!</v>
      </c>
    </row>
    <row r="14" spans="2:7" ht="28.5">
      <c r="B14" s="39">
        <v>2</v>
      </c>
      <c r="C14" s="8" t="s">
        <v>147</v>
      </c>
      <c r="D14" s="3" t="s">
        <v>80</v>
      </c>
      <c r="E14" s="4">
        <f>+'2'!M12</f>
        <v>9.5</v>
      </c>
      <c r="F14" s="5">
        <f>+'APUS OCS 130'!F88</f>
        <v>0</v>
      </c>
      <c r="G14" s="7">
        <f>ROUND((E14*F14),2)</f>
        <v>0</v>
      </c>
    </row>
    <row r="15" spans="2:7" s="1" customFormat="1" ht="42.75">
      <c r="B15" s="39">
        <v>3</v>
      </c>
      <c r="C15" s="8" t="s">
        <v>250</v>
      </c>
      <c r="D15" s="3" t="s">
        <v>134</v>
      </c>
      <c r="E15" s="4">
        <f>+'3'!M7</f>
        <v>6</v>
      </c>
      <c r="F15" s="5">
        <f>+'APUS OCS 130'!F520</f>
        <v>0</v>
      </c>
      <c r="G15" s="7">
        <f t="shared" ref="G15:G29" si="0">ROUND((E15*F15),2)</f>
        <v>0</v>
      </c>
    </row>
    <row r="16" spans="2:7" s="1" customFormat="1" ht="28.5">
      <c r="B16" s="39">
        <v>4</v>
      </c>
      <c r="C16" s="8" t="s">
        <v>381</v>
      </c>
      <c r="D16" s="3" t="s">
        <v>80</v>
      </c>
      <c r="E16" s="4">
        <f>+'3'!I12</f>
        <v>2</v>
      </c>
      <c r="F16" s="5">
        <f>+'APUS OCS 130'!F566</f>
        <v>0</v>
      </c>
      <c r="G16" s="7">
        <f t="shared" si="0"/>
        <v>0</v>
      </c>
    </row>
    <row r="17" spans="2:7" s="1" customFormat="1">
      <c r="B17" s="39">
        <v>5</v>
      </c>
      <c r="C17" s="8" t="s">
        <v>133</v>
      </c>
      <c r="D17" s="3" t="s">
        <v>3</v>
      </c>
      <c r="E17" s="4">
        <v>2</v>
      </c>
      <c r="F17" s="5" t="e">
        <f>+#REF!</f>
        <v>#REF!</v>
      </c>
      <c r="G17" s="7" t="e">
        <f t="shared" si="0"/>
        <v>#REF!</v>
      </c>
    </row>
    <row r="18" spans="2:7" s="1" customFormat="1">
      <c r="B18" s="39">
        <v>6</v>
      </c>
      <c r="C18" s="8" t="s">
        <v>142</v>
      </c>
      <c r="D18" s="3" t="s">
        <v>3</v>
      </c>
      <c r="E18" s="4">
        <v>2</v>
      </c>
      <c r="F18" s="5" t="e">
        <f>+#REF!</f>
        <v>#REF!</v>
      </c>
      <c r="G18" s="7" t="e">
        <f t="shared" si="0"/>
        <v>#REF!</v>
      </c>
    </row>
    <row r="19" spans="2:7" s="1" customFormat="1" ht="47.25" customHeight="1">
      <c r="B19" s="39">
        <v>7</v>
      </c>
      <c r="C19" s="8" t="s">
        <v>249</v>
      </c>
      <c r="D19" s="3" t="s">
        <v>3</v>
      </c>
      <c r="E19" s="2">
        <f>+'4'!M7</f>
        <v>8.99</v>
      </c>
      <c r="F19" s="5">
        <f>+'APUS OCS 130'!G550</f>
        <v>0</v>
      </c>
      <c r="G19" s="7">
        <f t="shared" si="0"/>
        <v>0</v>
      </c>
    </row>
    <row r="20" spans="2:7" ht="28.5">
      <c r="B20" s="39">
        <v>8</v>
      </c>
      <c r="C20" s="51" t="s">
        <v>152</v>
      </c>
      <c r="D20" s="3" t="s">
        <v>86</v>
      </c>
      <c r="E20" s="2">
        <f>+'5'!M7</f>
        <v>5</v>
      </c>
      <c r="F20" s="5" t="e">
        <f>+'APUS OCS 130'!#REF!</f>
        <v>#REF!</v>
      </c>
      <c r="G20" s="7" t="e">
        <f t="shared" si="0"/>
        <v>#REF!</v>
      </c>
    </row>
    <row r="21" spans="2:7">
      <c r="B21" s="39">
        <v>9</v>
      </c>
      <c r="C21" s="51" t="s">
        <v>154</v>
      </c>
      <c r="D21" s="3" t="s">
        <v>86</v>
      </c>
      <c r="E21" s="2">
        <f>+'6'!M7</f>
        <v>2</v>
      </c>
      <c r="F21" s="5" t="e">
        <f>+'APUS OCS 130'!#REF!</f>
        <v>#REF!</v>
      </c>
      <c r="G21" s="7" t="e">
        <f t="shared" si="0"/>
        <v>#REF!</v>
      </c>
    </row>
    <row r="22" spans="2:7" s="1" customFormat="1" ht="28.5">
      <c r="B22" s="39">
        <v>10</v>
      </c>
      <c r="C22" s="173" t="s">
        <v>205</v>
      </c>
      <c r="D22" s="174" t="s">
        <v>134</v>
      </c>
      <c r="E22" s="175">
        <v>1</v>
      </c>
      <c r="F22" s="5" t="e">
        <f>+'APUS OCS 130'!#REF!</f>
        <v>#REF!</v>
      </c>
      <c r="G22" s="7" t="e">
        <f t="shared" si="0"/>
        <v>#REF!</v>
      </c>
    </row>
    <row r="23" spans="2:7" s="1" customFormat="1" ht="28.5">
      <c r="B23" s="39">
        <v>11</v>
      </c>
      <c r="C23" s="173" t="s">
        <v>300</v>
      </c>
      <c r="D23" s="174" t="s">
        <v>86</v>
      </c>
      <c r="E23" s="175">
        <v>1</v>
      </c>
      <c r="F23" s="5">
        <f>+'APUS OCS 130'!F1124</f>
        <v>0</v>
      </c>
      <c r="G23" s="7">
        <f t="shared" si="0"/>
        <v>0</v>
      </c>
    </row>
    <row r="24" spans="2:7" s="1" customFormat="1">
      <c r="B24" s="39">
        <v>12</v>
      </c>
      <c r="C24" s="173" t="s">
        <v>380</v>
      </c>
      <c r="D24" s="3" t="s">
        <v>3</v>
      </c>
      <c r="E24" s="175">
        <f>+E14*(0.7+0.7+0.7)</f>
        <v>19.949999999999996</v>
      </c>
      <c r="F24" s="5" t="e">
        <f>+#REF!</f>
        <v>#REF!</v>
      </c>
      <c r="G24" s="7" t="e">
        <f t="shared" si="0"/>
        <v>#REF!</v>
      </c>
    </row>
    <row r="25" spans="2:7">
      <c r="B25" s="39">
        <v>13</v>
      </c>
      <c r="C25" s="51" t="s">
        <v>364</v>
      </c>
      <c r="D25" s="3" t="s">
        <v>365</v>
      </c>
      <c r="E25" s="2">
        <v>2</v>
      </c>
      <c r="F25" s="5">
        <v>2500000</v>
      </c>
      <c r="G25" s="7">
        <f t="shared" si="0"/>
        <v>5000000</v>
      </c>
    </row>
    <row r="26" spans="2:7">
      <c r="B26" s="39">
        <v>14</v>
      </c>
      <c r="C26" s="51" t="s">
        <v>366</v>
      </c>
      <c r="D26" s="3" t="s">
        <v>365</v>
      </c>
      <c r="E26" s="2">
        <v>2</v>
      </c>
      <c r="F26" s="5" t="e">
        <f>+#REF!</f>
        <v>#REF!</v>
      </c>
      <c r="G26" s="7" t="e">
        <f t="shared" si="0"/>
        <v>#REF!</v>
      </c>
    </row>
    <row r="27" spans="2:7" ht="28.5">
      <c r="B27" s="39">
        <v>15</v>
      </c>
      <c r="C27" s="369" t="s">
        <v>368</v>
      </c>
      <c r="D27" s="328" t="s">
        <v>365</v>
      </c>
      <c r="E27" s="2">
        <v>1</v>
      </c>
      <c r="F27" s="329" t="e">
        <f>+#REF!/1.2</f>
        <v>#REF!</v>
      </c>
      <c r="G27" s="330" t="e">
        <f t="shared" si="0"/>
        <v>#REF!</v>
      </c>
    </row>
    <row r="28" spans="2:7" s="1" customFormat="1">
      <c r="B28" s="39">
        <v>16</v>
      </c>
      <c r="C28" s="370" t="s">
        <v>382</v>
      </c>
      <c r="D28" s="351" t="s">
        <v>144</v>
      </c>
      <c r="E28" s="352">
        <f>2*45</f>
        <v>90</v>
      </c>
      <c r="F28" s="329">
        <f>+'APUS OCS 130'!F1135</f>
        <v>0</v>
      </c>
      <c r="G28" s="330">
        <f t="shared" si="0"/>
        <v>0</v>
      </c>
    </row>
    <row r="29" spans="2:7" ht="15.75" thickBot="1">
      <c r="B29" s="350">
        <v>17</v>
      </c>
      <c r="C29" s="371" t="s">
        <v>367</v>
      </c>
      <c r="D29" s="331" t="s">
        <v>365</v>
      </c>
      <c r="E29" s="56">
        <v>2</v>
      </c>
      <c r="F29" s="332" t="e">
        <f>+#REF!</f>
        <v>#REF!</v>
      </c>
      <c r="G29" s="333" t="e">
        <f t="shared" si="0"/>
        <v>#REF!</v>
      </c>
    </row>
    <row r="30" spans="2:7" s="1" customFormat="1" hidden="1">
      <c r="B30" s="179">
        <v>14</v>
      </c>
      <c r="C30" s="316"/>
      <c r="D30" s="317"/>
      <c r="E30" s="318"/>
      <c r="F30" s="319"/>
      <c r="G30" s="320"/>
    </row>
    <row r="31" spans="2:7" s="1" customFormat="1" hidden="1">
      <c r="B31" s="39">
        <v>15</v>
      </c>
      <c r="C31" s="316"/>
      <c r="D31" s="317"/>
      <c r="E31" s="318"/>
      <c r="F31" s="319"/>
      <c r="G31" s="320"/>
    </row>
    <row r="32" spans="2:7" s="1" customFormat="1" hidden="1">
      <c r="B32" s="39">
        <v>16</v>
      </c>
      <c r="C32" s="316"/>
      <c r="D32" s="317"/>
      <c r="E32" s="318"/>
      <c r="F32" s="319"/>
      <c r="G32" s="320"/>
    </row>
    <row r="33" spans="2:7" s="1" customFormat="1" ht="34.5" hidden="1" customHeight="1">
      <c r="B33" s="39">
        <v>17</v>
      </c>
      <c r="C33" s="180" t="s">
        <v>201</v>
      </c>
      <c r="D33" s="181" t="s">
        <v>86</v>
      </c>
      <c r="E33" s="182"/>
      <c r="F33" s="183" t="e">
        <f>+'APUS OCS 130'!#REF!</f>
        <v>#REF!</v>
      </c>
      <c r="G33" s="184" t="e">
        <f t="shared" ref="G33:G48" si="1">ROUND((E33*F33),2)</f>
        <v>#REF!</v>
      </c>
    </row>
    <row r="34" spans="2:7" s="1" customFormat="1" ht="37.5" hidden="1" customHeight="1">
      <c r="B34" s="39">
        <v>18</v>
      </c>
      <c r="C34" s="51" t="s">
        <v>202</v>
      </c>
      <c r="D34" s="3" t="s">
        <v>86</v>
      </c>
      <c r="E34" s="2"/>
      <c r="F34" s="5" t="e">
        <f>+'APUS OCS 130'!#REF!</f>
        <v>#REF!</v>
      </c>
      <c r="G34" s="7" t="e">
        <f t="shared" si="1"/>
        <v>#REF!</v>
      </c>
    </row>
    <row r="35" spans="2:7" s="1" customFormat="1" ht="35.25" hidden="1" customHeight="1">
      <c r="B35" s="39">
        <v>19</v>
      </c>
      <c r="C35" s="51" t="s">
        <v>203</v>
      </c>
      <c r="D35" s="3" t="s">
        <v>86</v>
      </c>
      <c r="E35" s="2"/>
      <c r="F35" s="5" t="e">
        <f>+'APUS OCS 130'!#REF!</f>
        <v>#REF!</v>
      </c>
      <c r="G35" s="7" t="e">
        <f t="shared" si="1"/>
        <v>#REF!</v>
      </c>
    </row>
    <row r="36" spans="2:7" s="1" customFormat="1" ht="28.5" hidden="1">
      <c r="B36" s="39">
        <v>20</v>
      </c>
      <c r="C36" s="51" t="s">
        <v>204</v>
      </c>
      <c r="D36" s="3" t="s">
        <v>86</v>
      </c>
      <c r="E36" s="2"/>
      <c r="F36" s="5">
        <f>+'APUS OCS 130'!F876</f>
        <v>0</v>
      </c>
      <c r="G36" s="7">
        <f t="shared" si="1"/>
        <v>0</v>
      </c>
    </row>
    <row r="37" spans="2:7" s="1" customFormat="1" ht="28.5" hidden="1">
      <c r="B37" s="39">
        <v>21</v>
      </c>
      <c r="C37" s="51" t="s">
        <v>205</v>
      </c>
      <c r="D37" s="3" t="s">
        <v>134</v>
      </c>
      <c r="E37" s="2"/>
      <c r="F37" s="5" t="e">
        <f>+'APUS OCS 130'!#REF!</f>
        <v>#REF!</v>
      </c>
      <c r="G37" s="7" t="e">
        <f t="shared" si="1"/>
        <v>#REF!</v>
      </c>
    </row>
    <row r="38" spans="2:7" s="1" customFormat="1" ht="28.5" hidden="1">
      <c r="B38" s="39">
        <v>22</v>
      </c>
      <c r="C38" s="51" t="s">
        <v>206</v>
      </c>
      <c r="D38" s="3" t="s">
        <v>86</v>
      </c>
      <c r="E38" s="2"/>
      <c r="F38" s="5" t="e">
        <f>+'APUS OCS 130'!#REF!</f>
        <v>#REF!</v>
      </c>
      <c r="G38" s="7" t="e">
        <f t="shared" si="1"/>
        <v>#REF!</v>
      </c>
    </row>
    <row r="39" spans="2:7" s="1" customFormat="1" hidden="1">
      <c r="B39" s="39">
        <v>23</v>
      </c>
      <c r="C39" s="51" t="s">
        <v>207</v>
      </c>
      <c r="D39" s="3" t="s">
        <v>3</v>
      </c>
      <c r="E39" s="2"/>
      <c r="F39" s="5" t="e">
        <f>+'APUS OCS 130'!#REF!</f>
        <v>#REF!</v>
      </c>
      <c r="G39" s="7" t="e">
        <f t="shared" si="1"/>
        <v>#REF!</v>
      </c>
    </row>
    <row r="40" spans="2:7" s="1" customFormat="1" hidden="1">
      <c r="B40" s="39">
        <v>24</v>
      </c>
      <c r="C40" s="51" t="s">
        <v>208</v>
      </c>
      <c r="D40" s="3" t="s">
        <v>3</v>
      </c>
      <c r="E40" s="2"/>
      <c r="F40" s="5" t="e">
        <f>+'APUS OCS 130'!#REF!</f>
        <v>#REF!</v>
      </c>
      <c r="G40" s="7" t="e">
        <f t="shared" si="1"/>
        <v>#REF!</v>
      </c>
    </row>
    <row r="41" spans="2:7" s="1" customFormat="1" ht="28.5" hidden="1">
      <c r="B41" s="39">
        <v>25</v>
      </c>
      <c r="C41" s="51" t="s">
        <v>211</v>
      </c>
      <c r="D41" s="3" t="s">
        <v>80</v>
      </c>
      <c r="E41" s="2"/>
      <c r="F41" s="5" t="e">
        <f>+'APUS OCS 130'!#REF!</f>
        <v>#REF!</v>
      </c>
      <c r="G41" s="7" t="e">
        <f t="shared" si="1"/>
        <v>#REF!</v>
      </c>
    </row>
    <row r="42" spans="2:7" s="1" customFormat="1" ht="28.5" hidden="1">
      <c r="B42" s="39">
        <v>26</v>
      </c>
      <c r="C42" s="51" t="s">
        <v>212</v>
      </c>
      <c r="D42" s="3" t="s">
        <v>86</v>
      </c>
      <c r="E42" s="2"/>
      <c r="F42" s="5" t="e">
        <f>+'APUS OCS 130'!#REF!</f>
        <v>#REF!</v>
      </c>
      <c r="G42" s="7"/>
    </row>
    <row r="43" spans="2:7" s="1" customFormat="1" ht="28.5" hidden="1">
      <c r="B43" s="39">
        <v>27</v>
      </c>
      <c r="C43" s="51" t="s">
        <v>213</v>
      </c>
      <c r="D43" s="3" t="s">
        <v>86</v>
      </c>
      <c r="E43" s="2"/>
      <c r="F43" s="5" t="e">
        <f>+'APUS OCS 130'!#REF!</f>
        <v>#REF!</v>
      </c>
      <c r="G43" s="7" t="e">
        <f t="shared" si="1"/>
        <v>#REF!</v>
      </c>
    </row>
    <row r="44" spans="2:7" s="1" customFormat="1" ht="28.5" hidden="1">
      <c r="B44" s="39">
        <v>28</v>
      </c>
      <c r="C44" s="51" t="s">
        <v>217</v>
      </c>
      <c r="D44" s="3" t="s">
        <v>86</v>
      </c>
      <c r="E44" s="2"/>
      <c r="F44" s="5" t="e">
        <f>+'APUS OCS 130'!#REF!</f>
        <v>#REF!</v>
      </c>
      <c r="G44" s="7" t="e">
        <f t="shared" si="1"/>
        <v>#REF!</v>
      </c>
    </row>
    <row r="45" spans="2:7" s="1" customFormat="1" hidden="1">
      <c r="B45" s="39">
        <v>29</v>
      </c>
      <c r="C45" s="51" t="s">
        <v>209</v>
      </c>
      <c r="D45" s="3" t="s">
        <v>86</v>
      </c>
      <c r="E45" s="2"/>
      <c r="F45" s="5" t="e">
        <f>+'APUS OCS 130'!#REF!</f>
        <v>#REF!</v>
      </c>
      <c r="G45" s="7" t="e">
        <f t="shared" si="1"/>
        <v>#REF!</v>
      </c>
    </row>
    <row r="46" spans="2:7" s="1" customFormat="1" hidden="1">
      <c r="B46" s="39">
        <v>30</v>
      </c>
      <c r="C46" s="51" t="s">
        <v>210</v>
      </c>
      <c r="D46" s="3" t="s">
        <v>86</v>
      </c>
      <c r="E46" s="2"/>
      <c r="F46" s="5" t="e">
        <f>+'APUS OCS 130'!#REF!</f>
        <v>#REF!</v>
      </c>
      <c r="G46" s="7" t="e">
        <f t="shared" si="1"/>
        <v>#REF!</v>
      </c>
    </row>
    <row r="47" spans="2:7" s="1" customFormat="1" ht="28.5" hidden="1">
      <c r="B47" s="39">
        <v>31</v>
      </c>
      <c r="C47" s="51" t="s">
        <v>244</v>
      </c>
      <c r="D47" s="3" t="s">
        <v>86</v>
      </c>
      <c r="E47" s="2"/>
      <c r="F47" s="5">
        <f>+'APUS OCS 130'!F178</f>
        <v>0</v>
      </c>
      <c r="G47" s="7">
        <f t="shared" si="1"/>
        <v>0</v>
      </c>
    </row>
    <row r="48" spans="2:7" s="1" customFormat="1" ht="23.25" hidden="1" customHeight="1" thickBot="1">
      <c r="B48" s="39">
        <v>32</v>
      </c>
      <c r="C48" s="52" t="s">
        <v>245</v>
      </c>
      <c r="D48" s="53" t="s">
        <v>86</v>
      </c>
      <c r="E48" s="56"/>
      <c r="F48" s="54" t="e">
        <f>+'APUS OCS 130'!#REF!</f>
        <v>#REF!</v>
      </c>
      <c r="G48" s="55" t="e">
        <f t="shared" si="1"/>
        <v>#REF!</v>
      </c>
    </row>
    <row r="49" spans="2:7" s="1" customFormat="1" ht="16.5" thickBot="1">
      <c r="B49" s="37"/>
      <c r="C49" s="38"/>
      <c r="D49" s="38"/>
      <c r="E49" s="38"/>
      <c r="F49" s="38"/>
      <c r="G49" s="38"/>
    </row>
    <row r="50" spans="2:7" ht="15.75">
      <c r="B50" s="143"/>
      <c r="C50" s="144" t="s">
        <v>123</v>
      </c>
      <c r="D50" s="145"/>
      <c r="E50" s="146"/>
      <c r="F50" s="146"/>
      <c r="G50" s="147" t="e">
        <f>SUM(G13:G44)</f>
        <v>#REF!</v>
      </c>
    </row>
    <row r="51" spans="2:7" ht="15.75">
      <c r="B51" s="40"/>
      <c r="C51" s="41" t="s">
        <v>124</v>
      </c>
      <c r="D51" s="42" t="s">
        <v>125</v>
      </c>
      <c r="E51" s="195">
        <v>0.25</v>
      </c>
      <c r="F51" s="43"/>
      <c r="G51" s="44" t="e">
        <f>+G50*E51</f>
        <v>#REF!</v>
      </c>
    </row>
    <row r="52" spans="2:7" ht="15.75">
      <c r="B52" s="40"/>
      <c r="C52" s="41" t="s">
        <v>126</v>
      </c>
      <c r="D52" s="42" t="s">
        <v>125</v>
      </c>
      <c r="E52" s="196">
        <v>0.04</v>
      </c>
      <c r="F52" s="43"/>
      <c r="G52" s="44" t="e">
        <f>+G50*E52</f>
        <v>#REF!</v>
      </c>
    </row>
    <row r="53" spans="2:7" ht="16.5" thickBot="1">
      <c r="B53" s="45"/>
      <c r="C53" s="46" t="s">
        <v>127</v>
      </c>
      <c r="D53" s="47"/>
      <c r="E53" s="47"/>
      <c r="F53" s="47"/>
      <c r="G53" s="48" t="e">
        <f>+ROUND(G50+G51+G52,)</f>
        <v>#REF!</v>
      </c>
    </row>
  </sheetData>
  <mergeCells count="11">
    <mergeCell ref="F10:G10"/>
    <mergeCell ref="B2:C10"/>
    <mergeCell ref="D2:E2"/>
    <mergeCell ref="D3:D5"/>
    <mergeCell ref="E3:G5"/>
    <mergeCell ref="D6:F6"/>
    <mergeCell ref="D7:F7"/>
    <mergeCell ref="D8:F8"/>
    <mergeCell ref="D9:E9"/>
    <mergeCell ref="F9:G9"/>
    <mergeCell ref="D10:E10"/>
  </mergeCells>
  <phoneticPr fontId="24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22"/>
  <sheetViews>
    <sheetView showGridLines="0" view="pageBreakPreview" topLeftCell="A7" zoomScaleNormal="125" zoomScaleSheetLayoutView="100" workbookViewId="0">
      <selection activeCell="H13" sqref="H13:H14"/>
    </sheetView>
  </sheetViews>
  <sheetFormatPr baseColWidth="10" defaultColWidth="11.42578125" defaultRowHeight="12.75"/>
  <cols>
    <col min="1" max="1" width="1.7109375" style="10" customWidth="1"/>
    <col min="2" max="7" width="6.7109375" style="10" customWidth="1"/>
    <col min="8" max="8" width="38.7109375" style="10" customWidth="1"/>
    <col min="9" max="12" width="10.7109375" style="11" customWidth="1"/>
    <col min="13" max="13" width="12.7109375" style="11" customWidth="1"/>
    <col min="14" max="16384" width="11.42578125" style="10"/>
  </cols>
  <sheetData>
    <row r="1" spans="2:14" ht="5.0999999999999996" customHeight="1"/>
    <row r="2" spans="2:14" ht="30" customHeight="1">
      <c r="B2" s="12"/>
      <c r="C2" s="13"/>
      <c r="D2" s="13"/>
      <c r="E2" s="1759"/>
      <c r="F2" s="1759"/>
      <c r="G2" s="1760"/>
      <c r="H2" s="1763" t="s">
        <v>87</v>
      </c>
      <c r="I2" s="1764"/>
      <c r="J2" s="1765" t="s">
        <v>88</v>
      </c>
      <c r="K2" s="1766"/>
      <c r="L2" s="1766"/>
      <c r="M2" s="1767"/>
    </row>
    <row r="3" spans="2:14" ht="30" customHeight="1">
      <c r="B3" s="14"/>
      <c r="C3" s="15"/>
      <c r="D3" s="15"/>
      <c r="E3" s="1761"/>
      <c r="F3" s="1761"/>
      <c r="G3" s="1762"/>
      <c r="H3" s="1771" t="s">
        <v>89</v>
      </c>
      <c r="I3" s="1772"/>
      <c r="J3" s="1768"/>
      <c r="K3" s="1769"/>
      <c r="L3" s="1769"/>
      <c r="M3" s="1770"/>
    </row>
    <row r="4" spans="2:14" ht="9.9499999999999993" customHeight="1">
      <c r="B4" s="1773"/>
      <c r="C4" s="1774"/>
      <c r="D4" s="1774"/>
      <c r="E4" s="1774"/>
      <c r="F4" s="1774"/>
      <c r="G4" s="1774"/>
      <c r="H4" s="1774"/>
      <c r="I4" s="1774"/>
      <c r="J4" s="1774"/>
      <c r="K4" s="1774"/>
      <c r="L4" s="1774"/>
      <c r="M4" s="1775"/>
    </row>
    <row r="5" spans="2:14" ht="35.1" customHeight="1">
      <c r="B5" s="1755" t="s">
        <v>90</v>
      </c>
      <c r="C5" s="1755"/>
      <c r="D5" s="16"/>
      <c r="E5" s="152" t="s">
        <v>91</v>
      </c>
      <c r="F5" s="17"/>
      <c r="G5" s="18" t="s">
        <v>92</v>
      </c>
      <c r="H5" s="1756" t="str">
        <f>+PRESU!E3</f>
        <v>PENDIENTES CENTRO</v>
      </c>
      <c r="I5" s="1757"/>
      <c r="J5" s="1757"/>
      <c r="K5" s="1757"/>
      <c r="L5" s="1757"/>
      <c r="M5" s="1758"/>
    </row>
    <row r="6" spans="2:14" ht="9.9499999999999993" customHeight="1">
      <c r="B6" s="19"/>
      <c r="C6" s="20"/>
      <c r="D6" s="20"/>
      <c r="E6" s="20"/>
      <c r="F6" s="20"/>
      <c r="G6" s="20"/>
      <c r="H6" s="20"/>
      <c r="I6" s="21"/>
      <c r="J6" s="21"/>
      <c r="K6" s="21"/>
      <c r="L6" s="21"/>
      <c r="M6" s="22"/>
    </row>
    <row r="7" spans="2:14" ht="24.95" customHeight="1">
      <c r="B7" s="149" t="s">
        <v>93</v>
      </c>
      <c r="C7" s="23">
        <f>+'[3]ACTA 01'!A13</f>
        <v>1</v>
      </c>
      <c r="D7" s="1745" t="s">
        <v>94</v>
      </c>
      <c r="E7" s="1746"/>
      <c r="F7" s="1747" t="str">
        <f>+[4]PRESU!C13</f>
        <v xml:space="preserve">Perforación Microtunel (4 Vías x 4") + Ducto TDP 4" incluye la tubería. </v>
      </c>
      <c r="G7" s="1748"/>
      <c r="H7" s="1749"/>
      <c r="I7" s="151" t="s">
        <v>95</v>
      </c>
      <c r="J7" s="24" t="str">
        <f>+PRESU!D14</f>
        <v>ml</v>
      </c>
      <c r="K7" s="1750" t="s">
        <v>96</v>
      </c>
      <c r="L7" s="1751"/>
      <c r="M7" s="25">
        <f>SUM(M12:M18)</f>
        <v>30.5</v>
      </c>
    </row>
    <row r="8" spans="2:14" ht="9.9499999999999993" customHeight="1">
      <c r="B8" s="19"/>
      <c r="C8" s="20"/>
      <c r="D8" s="20"/>
      <c r="E8" s="20"/>
      <c r="F8" s="20"/>
      <c r="G8" s="20"/>
      <c r="H8" s="20"/>
      <c r="I8" s="21"/>
      <c r="J8" s="21"/>
      <c r="K8" s="21"/>
      <c r="L8" s="21"/>
      <c r="M8" s="22"/>
    </row>
    <row r="9" spans="2:14" ht="15" customHeight="1">
      <c r="B9" s="1752" t="s">
        <v>97</v>
      </c>
      <c r="C9" s="1752"/>
      <c r="D9" s="1752"/>
      <c r="E9" s="1752"/>
      <c r="F9" s="1752"/>
      <c r="G9" s="1752"/>
      <c r="H9" s="1752" t="s">
        <v>98</v>
      </c>
      <c r="I9" s="1754" t="s">
        <v>99</v>
      </c>
      <c r="J9" s="1754"/>
      <c r="K9" s="1754"/>
      <c r="L9" s="1750"/>
      <c r="M9" s="1730" t="s">
        <v>100</v>
      </c>
    </row>
    <row r="10" spans="2:14" ht="15" customHeight="1">
      <c r="B10" s="1752"/>
      <c r="C10" s="1752"/>
      <c r="D10" s="1752"/>
      <c r="E10" s="1752"/>
      <c r="F10" s="1752"/>
      <c r="G10" s="1752"/>
      <c r="H10" s="1753"/>
      <c r="I10" s="150" t="s">
        <v>0</v>
      </c>
      <c r="J10" s="150" t="s">
        <v>101</v>
      </c>
      <c r="K10" s="150" t="s">
        <v>102</v>
      </c>
      <c r="L10" s="148" t="s">
        <v>103</v>
      </c>
      <c r="M10" s="1730"/>
    </row>
    <row r="11" spans="2:14" ht="23.25" customHeight="1">
      <c r="B11" s="1731"/>
      <c r="C11" s="1732"/>
      <c r="D11" s="1732"/>
      <c r="E11" s="1732"/>
      <c r="F11" s="1732"/>
      <c r="G11" s="1733"/>
      <c r="H11" s="1740" t="s">
        <v>128</v>
      </c>
      <c r="I11" s="1741"/>
      <c r="J11" s="1741"/>
      <c r="K11" s="1741"/>
      <c r="L11" s="1741"/>
      <c r="M11" s="1742"/>
    </row>
    <row r="12" spans="2:14" ht="36">
      <c r="B12" s="1734"/>
      <c r="C12" s="1735"/>
      <c r="D12" s="1735"/>
      <c r="E12" s="1735"/>
      <c r="F12" s="1735"/>
      <c r="G12" s="1736"/>
      <c r="H12" s="26" t="s">
        <v>148</v>
      </c>
      <c r="I12" s="83"/>
      <c r="J12" s="83"/>
      <c r="K12" s="83">
        <v>9.5</v>
      </c>
      <c r="L12" s="83"/>
      <c r="M12" s="84">
        <f t="shared" ref="M12:M18" si="0">+K12</f>
        <v>9.5</v>
      </c>
      <c r="N12" s="10" t="s">
        <v>247</v>
      </c>
    </row>
    <row r="13" spans="2:14" ht="25.5" customHeight="1">
      <c r="B13" s="1734"/>
      <c r="C13" s="1735"/>
      <c r="D13" s="1735"/>
      <c r="E13" s="1735"/>
      <c r="F13" s="1735"/>
      <c r="G13" s="1736"/>
      <c r="H13" s="26" t="s">
        <v>149</v>
      </c>
      <c r="I13" s="83"/>
      <c r="J13" s="83"/>
      <c r="K13" s="83">
        <v>9</v>
      </c>
      <c r="L13" s="83"/>
      <c r="M13" s="84">
        <f t="shared" si="0"/>
        <v>9</v>
      </c>
    </row>
    <row r="14" spans="2:14" ht="28.5" customHeight="1">
      <c r="B14" s="1734"/>
      <c r="C14" s="1735"/>
      <c r="D14" s="1735"/>
      <c r="E14" s="1735"/>
      <c r="F14" s="1735"/>
      <c r="G14" s="1736"/>
      <c r="H14" s="26" t="s">
        <v>246</v>
      </c>
      <c r="I14" s="83"/>
      <c r="J14" s="83"/>
      <c r="K14" s="83">
        <v>12</v>
      </c>
      <c r="L14" s="83"/>
      <c r="M14" s="84">
        <f t="shared" si="0"/>
        <v>12</v>
      </c>
    </row>
    <row r="15" spans="2:14" ht="15" customHeight="1">
      <c r="B15" s="1734"/>
      <c r="C15" s="1735"/>
      <c r="D15" s="1735"/>
      <c r="E15" s="1735"/>
      <c r="F15" s="1735"/>
      <c r="G15" s="1736"/>
      <c r="H15" s="26"/>
      <c r="I15" s="83"/>
      <c r="J15" s="83"/>
      <c r="K15" s="83"/>
      <c r="L15" s="83"/>
      <c r="M15" s="84">
        <f t="shared" si="0"/>
        <v>0</v>
      </c>
      <c r="N15" s="342"/>
    </row>
    <row r="16" spans="2:14" ht="15" customHeight="1">
      <c r="B16" s="1734"/>
      <c r="C16" s="1735"/>
      <c r="D16" s="1735"/>
      <c r="E16" s="1735"/>
      <c r="F16" s="1735"/>
      <c r="G16" s="1736"/>
      <c r="H16" s="26"/>
      <c r="I16" s="83"/>
      <c r="J16" s="83"/>
      <c r="K16" s="83"/>
      <c r="L16" s="83"/>
      <c r="M16" s="84">
        <f t="shared" si="0"/>
        <v>0</v>
      </c>
    </row>
    <row r="17" spans="2:13" ht="15" customHeight="1">
      <c r="B17" s="1734"/>
      <c r="C17" s="1735"/>
      <c r="D17" s="1735"/>
      <c r="E17" s="1735"/>
      <c r="F17" s="1735"/>
      <c r="G17" s="1736"/>
      <c r="H17" s="26"/>
      <c r="I17" s="83"/>
      <c r="J17" s="83"/>
      <c r="K17" s="83"/>
      <c r="L17" s="83"/>
      <c r="M17" s="84">
        <f t="shared" si="0"/>
        <v>0</v>
      </c>
    </row>
    <row r="18" spans="2:13" ht="15" customHeight="1">
      <c r="B18" s="1737"/>
      <c r="C18" s="1738"/>
      <c r="D18" s="1738"/>
      <c r="E18" s="1738"/>
      <c r="F18" s="1738"/>
      <c r="G18" s="1739"/>
      <c r="H18" s="26"/>
      <c r="I18" s="83"/>
      <c r="J18" s="83"/>
      <c r="K18" s="83"/>
      <c r="L18" s="83"/>
      <c r="M18" s="84">
        <f t="shared" si="0"/>
        <v>0</v>
      </c>
    </row>
    <row r="19" spans="2:13" ht="15" customHeight="1">
      <c r="B19" s="29" t="s">
        <v>104</v>
      </c>
      <c r="C19" s="1722"/>
      <c r="D19" s="1723"/>
      <c r="E19" s="1723"/>
      <c r="F19" s="1723"/>
      <c r="G19" s="1723"/>
      <c r="H19" s="1743" t="s">
        <v>105</v>
      </c>
      <c r="I19" s="1744"/>
      <c r="J19" s="30" t="s">
        <v>104</v>
      </c>
      <c r="K19" s="1719"/>
      <c r="L19" s="1720"/>
      <c r="M19" s="1721"/>
    </row>
    <row r="20" spans="2:13" ht="15" customHeight="1">
      <c r="B20" s="29" t="s">
        <v>106</v>
      </c>
      <c r="C20" s="1715"/>
      <c r="D20" s="1716"/>
      <c r="E20" s="1716"/>
      <c r="F20" s="1716"/>
      <c r="G20" s="1716"/>
      <c r="H20" s="1717"/>
      <c r="I20" s="1718"/>
      <c r="J20" s="30" t="s">
        <v>106</v>
      </c>
      <c r="K20" s="1719" t="s">
        <v>107</v>
      </c>
      <c r="L20" s="1720"/>
      <c r="M20" s="1721"/>
    </row>
    <row r="21" spans="2:13" ht="15" customHeight="1">
      <c r="B21" s="31" t="s">
        <v>108</v>
      </c>
      <c r="C21" s="1722"/>
      <c r="D21" s="1723"/>
      <c r="E21" s="1723"/>
      <c r="F21" s="1723"/>
      <c r="G21" s="1724"/>
      <c r="H21" s="1725"/>
      <c r="I21" s="1726"/>
      <c r="J21" s="32" t="s">
        <v>108</v>
      </c>
      <c r="K21" s="1727">
        <f>+C21</f>
        <v>0</v>
      </c>
      <c r="L21" s="1728"/>
      <c r="M21" s="1729"/>
    </row>
    <row r="22" spans="2:13" ht="15" customHeight="1">
      <c r="B22" s="29" t="s">
        <v>109</v>
      </c>
      <c r="C22" s="1708" t="s">
        <v>110</v>
      </c>
      <c r="D22" s="1709"/>
      <c r="E22" s="1709"/>
      <c r="F22" s="1709"/>
      <c r="G22" s="1709"/>
      <c r="H22" s="1710"/>
      <c r="I22" s="1711"/>
      <c r="J22" s="30" t="s">
        <v>109</v>
      </c>
      <c r="K22" s="1712" t="s">
        <v>111</v>
      </c>
      <c r="L22" s="1713"/>
      <c r="M22" s="1714"/>
    </row>
  </sheetData>
  <mergeCells count="28">
    <mergeCell ref="B5:C5"/>
    <mergeCell ref="H5:M5"/>
    <mergeCell ref="E2:G3"/>
    <mergeCell ref="H2:I2"/>
    <mergeCell ref="J2:M3"/>
    <mergeCell ref="H3:I3"/>
    <mergeCell ref="B4:M4"/>
    <mergeCell ref="D7:E7"/>
    <mergeCell ref="F7:H7"/>
    <mergeCell ref="K7:L7"/>
    <mergeCell ref="B9:G10"/>
    <mergeCell ref="H9:H10"/>
    <mergeCell ref="I9:L9"/>
    <mergeCell ref="M9:M10"/>
    <mergeCell ref="B11:G18"/>
    <mergeCell ref="H11:M11"/>
    <mergeCell ref="C19:G19"/>
    <mergeCell ref="H19:I19"/>
    <mergeCell ref="K19:M19"/>
    <mergeCell ref="C22:G22"/>
    <mergeCell ref="H22:I22"/>
    <mergeCell ref="K22:M22"/>
    <mergeCell ref="C20:G20"/>
    <mergeCell ref="H20:I20"/>
    <mergeCell ref="K20:M20"/>
    <mergeCell ref="C21:G21"/>
    <mergeCell ref="H21:I21"/>
    <mergeCell ref="K21:M21"/>
  </mergeCells>
  <printOptions horizontalCentered="1"/>
  <pageMargins left="0.19685039370078741" right="0.19685039370078741" top="0.39370078740157483" bottom="0.39370078740157483" header="0.31496062992125984" footer="0.31496062992125984"/>
  <pageSetup orientation="landscape" copies="19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22"/>
  <sheetViews>
    <sheetView showGridLines="0" view="pageBreakPreview" topLeftCell="A4" zoomScaleNormal="125" zoomScaleSheetLayoutView="100" workbookViewId="0">
      <selection activeCell="M12" sqref="M12:M14"/>
    </sheetView>
  </sheetViews>
  <sheetFormatPr baseColWidth="10" defaultColWidth="11.42578125" defaultRowHeight="12.75"/>
  <cols>
    <col min="1" max="1" width="1.7109375" style="10" customWidth="1"/>
    <col min="2" max="7" width="6.7109375" style="10" customWidth="1"/>
    <col min="8" max="8" width="38.7109375" style="10" customWidth="1"/>
    <col min="9" max="12" width="10.7109375" style="11" customWidth="1"/>
    <col min="13" max="13" width="12.7109375" style="11" customWidth="1"/>
    <col min="14" max="16384" width="11.42578125" style="10"/>
  </cols>
  <sheetData>
    <row r="1" spans="2:13" ht="5.0999999999999996" customHeight="1"/>
    <row r="2" spans="2:13" ht="30" customHeight="1">
      <c r="B2" s="12"/>
      <c r="C2" s="13"/>
      <c r="D2" s="13"/>
      <c r="E2" s="1759"/>
      <c r="F2" s="1759"/>
      <c r="G2" s="1760"/>
      <c r="H2" s="1763" t="s">
        <v>87</v>
      </c>
      <c r="I2" s="1764"/>
      <c r="J2" s="1765" t="s">
        <v>88</v>
      </c>
      <c r="K2" s="1766"/>
      <c r="L2" s="1766"/>
      <c r="M2" s="1767"/>
    </row>
    <row r="3" spans="2:13" ht="30" customHeight="1">
      <c r="B3" s="14"/>
      <c r="C3" s="15"/>
      <c r="D3" s="15"/>
      <c r="E3" s="1761"/>
      <c r="F3" s="1761"/>
      <c r="G3" s="1762"/>
      <c r="H3" s="1771" t="s">
        <v>89</v>
      </c>
      <c r="I3" s="1772"/>
      <c r="J3" s="1768"/>
      <c r="K3" s="1769"/>
      <c r="L3" s="1769"/>
      <c r="M3" s="1770"/>
    </row>
    <row r="4" spans="2:13" ht="9.9499999999999993" customHeight="1">
      <c r="B4" s="1773"/>
      <c r="C4" s="1774"/>
      <c r="D4" s="1774"/>
      <c r="E4" s="1774"/>
      <c r="F4" s="1774"/>
      <c r="G4" s="1774"/>
      <c r="H4" s="1774"/>
      <c r="I4" s="1774"/>
      <c r="J4" s="1774"/>
      <c r="K4" s="1774"/>
      <c r="L4" s="1774"/>
      <c r="M4" s="1775"/>
    </row>
    <row r="5" spans="2:13" ht="35.1" customHeight="1">
      <c r="B5" s="1755" t="s">
        <v>90</v>
      </c>
      <c r="C5" s="1755"/>
      <c r="D5" s="16"/>
      <c r="E5" s="152" t="s">
        <v>91</v>
      </c>
      <c r="F5" s="17"/>
      <c r="G5" s="18" t="s">
        <v>92</v>
      </c>
      <c r="H5" s="1756" t="str">
        <f>+PRESU!E3</f>
        <v>PENDIENTES CENTRO</v>
      </c>
      <c r="I5" s="1757"/>
      <c r="J5" s="1757"/>
      <c r="K5" s="1757"/>
      <c r="L5" s="1757"/>
      <c r="M5" s="1758"/>
    </row>
    <row r="6" spans="2:13" ht="9.9499999999999993" customHeight="1">
      <c r="B6" s="19"/>
      <c r="C6" s="20"/>
      <c r="D6" s="20"/>
      <c r="E6" s="20"/>
      <c r="F6" s="20"/>
      <c r="G6" s="20"/>
      <c r="H6" s="20"/>
      <c r="I6" s="21"/>
      <c r="J6" s="21"/>
      <c r="K6" s="21"/>
      <c r="L6" s="21"/>
      <c r="M6" s="22"/>
    </row>
    <row r="7" spans="2:13" ht="24.95" customHeight="1">
      <c r="B7" s="149" t="s">
        <v>93</v>
      </c>
      <c r="C7" s="23">
        <v>2</v>
      </c>
      <c r="D7" s="1745" t="s">
        <v>94</v>
      </c>
      <c r="E7" s="1746"/>
      <c r="F7" s="1747" t="str">
        <f>+[4]PRESU!C14</f>
        <v>Demolicion de muro de carcamo o camara, retiro de sobrantes y emboquillado en concreto para perforacion microtunel</v>
      </c>
      <c r="G7" s="1748"/>
      <c r="H7" s="1749"/>
      <c r="I7" s="151" t="s">
        <v>95</v>
      </c>
      <c r="J7" s="24" t="str">
        <f>+PRESU!D15</f>
        <v>glb</v>
      </c>
      <c r="K7" s="1750" t="s">
        <v>96</v>
      </c>
      <c r="L7" s="1751"/>
      <c r="M7" s="25">
        <f>SUM(M12:M18)</f>
        <v>6</v>
      </c>
    </row>
    <row r="8" spans="2:13" ht="9.9499999999999993" customHeight="1">
      <c r="B8" s="19"/>
      <c r="C8" s="20"/>
      <c r="D8" s="20"/>
      <c r="E8" s="20"/>
      <c r="F8" s="20"/>
      <c r="G8" s="20"/>
      <c r="H8" s="20"/>
      <c r="I8" s="21"/>
      <c r="J8" s="21"/>
      <c r="K8" s="21"/>
      <c r="L8" s="21"/>
      <c r="M8" s="22"/>
    </row>
    <row r="9" spans="2:13" ht="15" customHeight="1">
      <c r="B9" s="1752" t="s">
        <v>97</v>
      </c>
      <c r="C9" s="1752"/>
      <c r="D9" s="1752"/>
      <c r="E9" s="1752"/>
      <c r="F9" s="1752"/>
      <c r="G9" s="1752"/>
      <c r="H9" s="1752" t="s">
        <v>98</v>
      </c>
      <c r="I9" s="1754" t="s">
        <v>99</v>
      </c>
      <c r="J9" s="1754"/>
      <c r="K9" s="1754"/>
      <c r="L9" s="1750"/>
      <c r="M9" s="1730" t="s">
        <v>100</v>
      </c>
    </row>
    <row r="10" spans="2:13" ht="15" customHeight="1">
      <c r="B10" s="1752"/>
      <c r="C10" s="1752"/>
      <c r="D10" s="1752"/>
      <c r="E10" s="1752"/>
      <c r="F10" s="1752"/>
      <c r="G10" s="1752"/>
      <c r="H10" s="1753"/>
      <c r="I10" s="150" t="s">
        <v>0</v>
      </c>
      <c r="J10" s="150" t="s">
        <v>101</v>
      </c>
      <c r="K10" s="150" t="s">
        <v>102</v>
      </c>
      <c r="L10" s="148" t="s">
        <v>103</v>
      </c>
      <c r="M10" s="1730"/>
    </row>
    <row r="11" spans="2:13" ht="23.25" customHeight="1">
      <c r="B11" s="185"/>
      <c r="C11" s="186"/>
      <c r="D11" s="186"/>
      <c r="E11" s="186"/>
      <c r="F11" s="186"/>
      <c r="G11" s="187"/>
      <c r="H11" s="1740" t="s">
        <v>128</v>
      </c>
      <c r="I11" s="1741"/>
      <c r="J11" s="1741"/>
      <c r="K11" s="1741"/>
      <c r="L11" s="1741"/>
      <c r="M11" s="1742"/>
    </row>
    <row r="12" spans="2:13" ht="36">
      <c r="B12" s="188"/>
      <c r="C12" s="189"/>
      <c r="D12" s="189"/>
      <c r="E12" s="189"/>
      <c r="F12" s="189"/>
      <c r="G12" s="190"/>
      <c r="H12" s="26" t="s">
        <v>148</v>
      </c>
      <c r="I12" s="27">
        <v>2</v>
      </c>
      <c r="J12" s="27"/>
      <c r="K12" s="27"/>
      <c r="L12" s="27"/>
      <c r="M12" s="28">
        <f>+PRODUCT(I12:L12)</f>
        <v>2</v>
      </c>
    </row>
    <row r="13" spans="2:13" ht="22.5" customHeight="1">
      <c r="B13" s="188"/>
      <c r="C13" s="189"/>
      <c r="D13" s="189"/>
      <c r="E13" s="189"/>
      <c r="F13" s="189"/>
      <c r="G13" s="190"/>
      <c r="H13" s="26" t="s">
        <v>149</v>
      </c>
      <c r="I13" s="27">
        <v>2</v>
      </c>
      <c r="J13" s="27"/>
      <c r="K13" s="27"/>
      <c r="L13" s="27"/>
      <c r="M13" s="28">
        <f t="shared" ref="M13:M14" si="0">+PRODUCT(I13:L13)</f>
        <v>2</v>
      </c>
    </row>
    <row r="14" spans="2:13" ht="25.5" customHeight="1">
      <c r="B14" s="188"/>
      <c r="C14" s="189"/>
      <c r="D14" s="189"/>
      <c r="E14" s="189"/>
      <c r="F14" s="189"/>
      <c r="G14" s="190"/>
      <c r="H14" s="26" t="s">
        <v>246</v>
      </c>
      <c r="I14" s="27">
        <v>2</v>
      </c>
      <c r="J14" s="27"/>
      <c r="K14" s="27"/>
      <c r="L14" s="27"/>
      <c r="M14" s="28">
        <f t="shared" si="0"/>
        <v>2</v>
      </c>
    </row>
    <row r="15" spans="2:13" ht="15" customHeight="1">
      <c r="B15" s="188"/>
      <c r="C15" s="189"/>
      <c r="D15" s="189"/>
      <c r="E15" s="189"/>
      <c r="F15" s="189"/>
      <c r="G15" s="190"/>
      <c r="H15" s="26"/>
      <c r="I15" s="27"/>
      <c r="J15" s="27"/>
      <c r="K15" s="27"/>
      <c r="L15" s="27"/>
      <c r="M15" s="28">
        <f t="shared" ref="M15:M18" si="1">+K15</f>
        <v>0</v>
      </c>
    </row>
    <row r="16" spans="2:13" ht="15" customHeight="1">
      <c r="B16" s="188"/>
      <c r="C16" s="189"/>
      <c r="D16" s="189"/>
      <c r="E16" s="189"/>
      <c r="F16" s="189"/>
      <c r="G16" s="190"/>
      <c r="H16" s="26"/>
      <c r="I16" s="27"/>
      <c r="J16" s="27"/>
      <c r="K16" s="27"/>
      <c r="L16" s="27"/>
      <c r="M16" s="28">
        <f t="shared" si="1"/>
        <v>0</v>
      </c>
    </row>
    <row r="17" spans="2:13" ht="15" customHeight="1">
      <c r="B17" s="188"/>
      <c r="C17" s="189"/>
      <c r="D17" s="189"/>
      <c r="E17" s="189"/>
      <c r="F17" s="189"/>
      <c r="G17" s="190"/>
      <c r="H17" s="26"/>
      <c r="I17" s="27"/>
      <c r="J17" s="27"/>
      <c r="K17" s="27"/>
      <c r="L17" s="27"/>
      <c r="M17" s="28">
        <f t="shared" si="1"/>
        <v>0</v>
      </c>
    </row>
    <row r="18" spans="2:13" ht="15" customHeight="1">
      <c r="B18" s="191"/>
      <c r="C18" s="192"/>
      <c r="D18" s="192"/>
      <c r="E18" s="192"/>
      <c r="F18" s="192"/>
      <c r="G18" s="193"/>
      <c r="H18" s="26"/>
      <c r="I18" s="27"/>
      <c r="J18" s="27"/>
      <c r="K18" s="27"/>
      <c r="L18" s="27"/>
      <c r="M18" s="28">
        <f t="shared" si="1"/>
        <v>0</v>
      </c>
    </row>
    <row r="19" spans="2:13" ht="15" customHeight="1">
      <c r="B19" s="29" t="s">
        <v>104</v>
      </c>
      <c r="C19" s="1722"/>
      <c r="D19" s="1723"/>
      <c r="E19" s="1723"/>
      <c r="F19" s="1723"/>
      <c r="G19" s="1723"/>
      <c r="H19" s="1743" t="s">
        <v>105</v>
      </c>
      <c r="I19" s="1744"/>
      <c r="J19" s="30" t="s">
        <v>104</v>
      </c>
      <c r="K19" s="1719"/>
      <c r="L19" s="1720"/>
      <c r="M19" s="1721"/>
    </row>
    <row r="20" spans="2:13" ht="15" customHeight="1">
      <c r="B20" s="29" t="s">
        <v>106</v>
      </c>
      <c r="C20" s="1715"/>
      <c r="D20" s="1716"/>
      <c r="E20" s="1716"/>
      <c r="F20" s="1716"/>
      <c r="G20" s="1716"/>
      <c r="H20" s="1717"/>
      <c r="I20" s="1718"/>
      <c r="J20" s="30" t="s">
        <v>106</v>
      </c>
      <c r="K20" s="1719" t="s">
        <v>107</v>
      </c>
      <c r="L20" s="1720"/>
      <c r="M20" s="1721"/>
    </row>
    <row r="21" spans="2:13" ht="15" customHeight="1">
      <c r="B21" s="31" t="s">
        <v>108</v>
      </c>
      <c r="C21" s="1722"/>
      <c r="D21" s="1723"/>
      <c r="E21" s="1723"/>
      <c r="F21" s="1723"/>
      <c r="G21" s="1724"/>
      <c r="H21" s="1725"/>
      <c r="I21" s="1726"/>
      <c r="J21" s="32" t="s">
        <v>108</v>
      </c>
      <c r="K21" s="1727">
        <f>+C21</f>
        <v>0</v>
      </c>
      <c r="L21" s="1728"/>
      <c r="M21" s="1729"/>
    </row>
    <row r="22" spans="2:13" ht="15" customHeight="1">
      <c r="B22" s="29" t="s">
        <v>109</v>
      </c>
      <c r="C22" s="1708" t="s">
        <v>110</v>
      </c>
      <c r="D22" s="1709"/>
      <c r="E22" s="1709"/>
      <c r="F22" s="1709"/>
      <c r="G22" s="1709"/>
      <c r="H22" s="1710"/>
      <c r="I22" s="1711"/>
      <c r="J22" s="30" t="s">
        <v>109</v>
      </c>
      <c r="K22" s="1712" t="s">
        <v>111</v>
      </c>
      <c r="L22" s="1713"/>
      <c r="M22" s="1714"/>
    </row>
  </sheetData>
  <mergeCells count="27">
    <mergeCell ref="B5:C5"/>
    <mergeCell ref="H5:M5"/>
    <mergeCell ref="E2:G3"/>
    <mergeCell ref="H2:I2"/>
    <mergeCell ref="J2:M3"/>
    <mergeCell ref="H3:I3"/>
    <mergeCell ref="B4:M4"/>
    <mergeCell ref="C20:G20"/>
    <mergeCell ref="H20:I20"/>
    <mergeCell ref="K20:M20"/>
    <mergeCell ref="D7:E7"/>
    <mergeCell ref="F7:H7"/>
    <mergeCell ref="K7:L7"/>
    <mergeCell ref="B9:G10"/>
    <mergeCell ref="H9:H10"/>
    <mergeCell ref="I9:L9"/>
    <mergeCell ref="M9:M10"/>
    <mergeCell ref="H11:M11"/>
    <mergeCell ref="C19:G19"/>
    <mergeCell ref="H19:I19"/>
    <mergeCell ref="K19:M19"/>
    <mergeCell ref="C21:G21"/>
    <mergeCell ref="H21:I21"/>
    <mergeCell ref="K21:M21"/>
    <mergeCell ref="C22:G22"/>
    <mergeCell ref="H22:I22"/>
    <mergeCell ref="K22:M22"/>
  </mergeCells>
  <printOptions horizontalCentered="1"/>
  <pageMargins left="0.19685039370078741" right="0.19685039370078741" top="0.39370078740157483" bottom="0.39370078740157483" header="0.31496062992125984" footer="0.31496062992125984"/>
  <pageSetup orientation="landscape" copies="19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M25"/>
  <sheetViews>
    <sheetView showGridLines="0" view="pageBreakPreview" zoomScaleNormal="125" zoomScaleSheetLayoutView="100" workbookViewId="0">
      <selection activeCell="I12" sqref="I12:K14"/>
    </sheetView>
  </sheetViews>
  <sheetFormatPr baseColWidth="10" defaultColWidth="11.42578125" defaultRowHeight="12.75"/>
  <cols>
    <col min="1" max="1" width="1.7109375" style="10" customWidth="1"/>
    <col min="2" max="7" width="6.7109375" style="10" customWidth="1"/>
    <col min="8" max="8" width="38.7109375" style="10" customWidth="1"/>
    <col min="9" max="12" width="10.7109375" style="11" customWidth="1"/>
    <col min="13" max="13" width="12.7109375" style="11" customWidth="1"/>
    <col min="14" max="16384" width="11.42578125" style="10"/>
  </cols>
  <sheetData>
    <row r="1" spans="2:13" ht="5.0999999999999996" customHeight="1"/>
    <row r="2" spans="2:13" ht="30" customHeight="1">
      <c r="B2" s="12"/>
      <c r="C2" s="13"/>
      <c r="D2" s="13"/>
      <c r="E2" s="1759"/>
      <c r="F2" s="1759"/>
      <c r="G2" s="1760"/>
      <c r="H2" s="1763" t="s">
        <v>87</v>
      </c>
      <c r="I2" s="1764"/>
      <c r="J2" s="1765" t="s">
        <v>88</v>
      </c>
      <c r="K2" s="1766"/>
      <c r="L2" s="1766"/>
      <c r="M2" s="1767"/>
    </row>
    <row r="3" spans="2:13" ht="30" customHeight="1">
      <c r="B3" s="14"/>
      <c r="C3" s="15"/>
      <c r="D3" s="15"/>
      <c r="E3" s="1761"/>
      <c r="F3" s="1761"/>
      <c r="G3" s="1762"/>
      <c r="H3" s="1771" t="s">
        <v>89</v>
      </c>
      <c r="I3" s="1772"/>
      <c r="J3" s="1768"/>
      <c r="K3" s="1769"/>
      <c r="L3" s="1769"/>
      <c r="M3" s="1770"/>
    </row>
    <row r="4" spans="2:13" ht="9.9499999999999993" customHeight="1">
      <c r="B4" s="1773"/>
      <c r="C4" s="1774"/>
      <c r="D4" s="1774"/>
      <c r="E4" s="1774"/>
      <c r="F4" s="1774"/>
      <c r="G4" s="1774"/>
      <c r="H4" s="1774"/>
      <c r="I4" s="1774"/>
      <c r="J4" s="1774"/>
      <c r="K4" s="1774"/>
      <c r="L4" s="1774"/>
      <c r="M4" s="1775"/>
    </row>
    <row r="5" spans="2:13" ht="35.1" customHeight="1">
      <c r="B5" s="1755" t="s">
        <v>90</v>
      </c>
      <c r="C5" s="1755"/>
      <c r="D5" s="16"/>
      <c r="E5" s="152" t="s">
        <v>91</v>
      </c>
      <c r="F5" s="17"/>
      <c r="G5" s="18" t="s">
        <v>92</v>
      </c>
      <c r="H5" s="1756" t="str">
        <f>+PRESU!E3</f>
        <v>PENDIENTES CENTRO</v>
      </c>
      <c r="I5" s="1757"/>
      <c r="J5" s="1757"/>
      <c r="K5" s="1757"/>
      <c r="L5" s="1757"/>
      <c r="M5" s="1758"/>
    </row>
    <row r="6" spans="2:13" ht="9.9499999999999993" customHeight="1">
      <c r="B6" s="19"/>
      <c r="C6" s="20"/>
      <c r="D6" s="20"/>
      <c r="E6" s="20"/>
      <c r="F6" s="20"/>
      <c r="G6" s="20"/>
      <c r="H6" s="20"/>
      <c r="I6" s="21"/>
      <c r="J6" s="21"/>
      <c r="K6" s="21"/>
      <c r="L6" s="21"/>
      <c r="M6" s="22"/>
    </row>
    <row r="7" spans="2:13" ht="24.95" customHeight="1">
      <c r="B7" s="149" t="s">
        <v>93</v>
      </c>
      <c r="C7" s="23">
        <v>3</v>
      </c>
      <c r="D7" s="1745" t="s">
        <v>94</v>
      </c>
      <c r="E7" s="1746"/>
      <c r="F7" s="1747" t="str">
        <f>+[4]PRESU!C15</f>
        <v>Retiro y reinstalacion de  rejillas en platinas  metalicos para camara transformador</v>
      </c>
      <c r="G7" s="1748"/>
      <c r="H7" s="1749"/>
      <c r="I7" s="151" t="s">
        <v>95</v>
      </c>
      <c r="J7" s="24" t="str">
        <f>+PRESU!D19</f>
        <v>m2</v>
      </c>
      <c r="K7" s="1750" t="s">
        <v>96</v>
      </c>
      <c r="L7" s="1751"/>
      <c r="M7" s="25">
        <f>SUM(M12:M14)</f>
        <v>8.99</v>
      </c>
    </row>
    <row r="8" spans="2:13" ht="9.9499999999999993" customHeight="1">
      <c r="B8" s="19"/>
      <c r="C8" s="20"/>
      <c r="D8" s="20"/>
      <c r="E8" s="20"/>
      <c r="F8" s="20"/>
      <c r="G8" s="20"/>
      <c r="H8" s="20"/>
      <c r="I8" s="21"/>
      <c r="J8" s="21"/>
      <c r="K8" s="21"/>
      <c r="L8" s="21"/>
      <c r="M8" s="22"/>
    </row>
    <row r="9" spans="2:13" ht="15" customHeight="1">
      <c r="B9" s="1752" t="s">
        <v>97</v>
      </c>
      <c r="C9" s="1752"/>
      <c r="D9" s="1752"/>
      <c r="E9" s="1752"/>
      <c r="F9" s="1752"/>
      <c r="G9" s="1752"/>
      <c r="H9" s="1752" t="s">
        <v>98</v>
      </c>
      <c r="I9" s="1754" t="s">
        <v>99</v>
      </c>
      <c r="J9" s="1754"/>
      <c r="K9" s="1754"/>
      <c r="L9" s="1750"/>
      <c r="M9" s="1730" t="s">
        <v>100</v>
      </c>
    </row>
    <row r="10" spans="2:13" ht="15" customHeight="1">
      <c r="B10" s="1752"/>
      <c r="C10" s="1752"/>
      <c r="D10" s="1752"/>
      <c r="E10" s="1752"/>
      <c r="F10" s="1752"/>
      <c r="G10" s="1752"/>
      <c r="H10" s="1753"/>
      <c r="I10" s="150" t="s">
        <v>0</v>
      </c>
      <c r="J10" s="150" t="s">
        <v>101</v>
      </c>
      <c r="K10" s="150" t="s">
        <v>102</v>
      </c>
      <c r="L10" s="148" t="s">
        <v>103</v>
      </c>
      <c r="M10" s="1730"/>
    </row>
    <row r="11" spans="2:13" ht="20.25" customHeight="1">
      <c r="B11" s="1776"/>
      <c r="C11" s="1777"/>
      <c r="D11" s="1777"/>
      <c r="E11" s="1777"/>
      <c r="F11" s="1777"/>
      <c r="G11" s="1778"/>
      <c r="H11" s="1740" t="s">
        <v>128</v>
      </c>
      <c r="I11" s="1741"/>
      <c r="J11" s="1741"/>
      <c r="K11" s="1741"/>
      <c r="L11" s="1741"/>
      <c r="M11" s="1742"/>
    </row>
    <row r="12" spans="2:13" ht="24" customHeight="1">
      <c r="B12" s="1776"/>
      <c r="C12" s="1777"/>
      <c r="D12" s="1777"/>
      <c r="E12" s="1777"/>
      <c r="F12" s="1777"/>
      <c r="G12" s="1778"/>
      <c r="H12" s="1779" t="s">
        <v>85</v>
      </c>
      <c r="I12" s="27">
        <v>1</v>
      </c>
      <c r="J12" s="27">
        <v>1.6</v>
      </c>
      <c r="K12" s="27">
        <v>2.2000000000000002</v>
      </c>
      <c r="L12" s="27"/>
      <c r="M12" s="28">
        <f>+PRODUCT(I12:L12)</f>
        <v>3.5200000000000005</v>
      </c>
    </row>
    <row r="13" spans="2:13">
      <c r="B13" s="1776"/>
      <c r="C13" s="1777"/>
      <c r="D13" s="1777"/>
      <c r="E13" s="1777"/>
      <c r="F13" s="1777"/>
      <c r="G13" s="1778"/>
      <c r="H13" s="1780"/>
      <c r="I13" s="27">
        <v>1</v>
      </c>
      <c r="J13" s="27">
        <v>2.2999999999999998</v>
      </c>
      <c r="K13" s="27">
        <v>1.9</v>
      </c>
      <c r="L13" s="27"/>
      <c r="M13" s="28">
        <f>+PRODUCT(I13:L13)</f>
        <v>4.3699999999999992</v>
      </c>
    </row>
    <row r="14" spans="2:13" ht="15" customHeight="1">
      <c r="B14" s="1776"/>
      <c r="C14" s="1777"/>
      <c r="D14" s="1777"/>
      <c r="E14" s="1777"/>
      <c r="F14" s="1777"/>
      <c r="G14" s="1778"/>
      <c r="H14" s="1781"/>
      <c r="I14" s="27">
        <v>1</v>
      </c>
      <c r="J14" s="27">
        <v>2.2000000000000002</v>
      </c>
      <c r="K14" s="27">
        <v>0.5</v>
      </c>
      <c r="L14" s="27"/>
      <c r="M14" s="28">
        <f>+PRODUCT(I14:L14)</f>
        <v>1.1000000000000001</v>
      </c>
    </row>
    <row r="15" spans="2:13" ht="15" customHeight="1">
      <c r="B15" s="1776"/>
      <c r="C15" s="1777"/>
      <c r="D15" s="1777"/>
      <c r="E15" s="1777"/>
      <c r="F15" s="1777"/>
      <c r="G15" s="1778"/>
      <c r="H15" s="26"/>
      <c r="I15" s="27"/>
      <c r="J15" s="27"/>
      <c r="K15" s="27"/>
      <c r="L15" s="27"/>
      <c r="M15" s="28">
        <f t="shared" ref="M15:M21" si="0">+K15</f>
        <v>0</v>
      </c>
    </row>
    <row r="16" spans="2:13" ht="15" customHeight="1">
      <c r="B16" s="1776"/>
      <c r="C16" s="1777"/>
      <c r="D16" s="1777"/>
      <c r="E16" s="1777"/>
      <c r="F16" s="1777"/>
      <c r="G16" s="1778"/>
      <c r="H16" s="26"/>
      <c r="I16" s="27"/>
      <c r="J16" s="27"/>
      <c r="K16" s="27"/>
      <c r="L16" s="27"/>
      <c r="M16" s="28">
        <f t="shared" si="0"/>
        <v>0</v>
      </c>
    </row>
    <row r="17" spans="2:13" ht="15" customHeight="1">
      <c r="B17" s="1776"/>
      <c r="C17" s="1777"/>
      <c r="D17" s="1777"/>
      <c r="E17" s="1777"/>
      <c r="F17" s="1777"/>
      <c r="G17" s="1778"/>
      <c r="H17" s="26"/>
      <c r="I17" s="27"/>
      <c r="J17" s="27"/>
      <c r="K17" s="27"/>
      <c r="L17" s="27"/>
      <c r="M17" s="28">
        <f t="shared" si="0"/>
        <v>0</v>
      </c>
    </row>
    <row r="18" spans="2:13" ht="15" customHeight="1">
      <c r="B18" s="1776"/>
      <c r="C18" s="1777"/>
      <c r="D18" s="1777"/>
      <c r="E18" s="1777"/>
      <c r="F18" s="1777"/>
      <c r="G18" s="1778"/>
      <c r="H18" s="26"/>
      <c r="I18" s="27"/>
      <c r="J18" s="27"/>
      <c r="K18" s="27"/>
      <c r="L18" s="27"/>
      <c r="M18" s="28">
        <f t="shared" si="0"/>
        <v>0</v>
      </c>
    </row>
    <row r="19" spans="2:13" ht="15" customHeight="1">
      <c r="B19" s="1776"/>
      <c r="C19" s="1777"/>
      <c r="D19" s="1777"/>
      <c r="E19" s="1777"/>
      <c r="F19" s="1777"/>
      <c r="G19" s="1778"/>
      <c r="H19" s="26"/>
      <c r="I19" s="27"/>
      <c r="J19" s="27"/>
      <c r="K19" s="27"/>
      <c r="L19" s="27"/>
      <c r="M19" s="28">
        <f t="shared" si="0"/>
        <v>0</v>
      </c>
    </row>
    <row r="20" spans="2:13" ht="15" customHeight="1">
      <c r="B20" s="1776"/>
      <c r="C20" s="1777"/>
      <c r="D20" s="1777"/>
      <c r="E20" s="1777"/>
      <c r="F20" s="1777"/>
      <c r="G20" s="1778"/>
      <c r="H20" s="26"/>
      <c r="I20" s="27"/>
      <c r="J20" s="27"/>
      <c r="K20" s="27"/>
      <c r="L20" s="27"/>
      <c r="M20" s="28">
        <f t="shared" si="0"/>
        <v>0</v>
      </c>
    </row>
    <row r="21" spans="2:13" ht="15" customHeight="1">
      <c r="B21" s="29" t="s">
        <v>104</v>
      </c>
      <c r="C21" s="1722"/>
      <c r="D21" s="1723"/>
      <c r="E21" s="1723"/>
      <c r="F21" s="1723"/>
      <c r="G21" s="1723"/>
      <c r="H21" s="26"/>
      <c r="I21" s="27"/>
      <c r="J21" s="27"/>
      <c r="K21" s="27"/>
      <c r="L21" s="27"/>
      <c r="M21" s="28">
        <f t="shared" si="0"/>
        <v>0</v>
      </c>
    </row>
    <row r="22" spans="2:13" ht="15" customHeight="1">
      <c r="B22" s="29" t="s">
        <v>106</v>
      </c>
      <c r="C22" s="1715"/>
      <c r="D22" s="1716"/>
      <c r="E22" s="1716"/>
      <c r="F22" s="1716"/>
      <c r="G22" s="1716"/>
      <c r="H22" s="1743" t="s">
        <v>105</v>
      </c>
      <c r="I22" s="1744"/>
      <c r="J22" s="30" t="s">
        <v>104</v>
      </c>
      <c r="K22" s="1719"/>
      <c r="L22" s="1720"/>
      <c r="M22" s="1721"/>
    </row>
    <row r="23" spans="2:13" ht="15" customHeight="1">
      <c r="B23" s="31" t="s">
        <v>108</v>
      </c>
      <c r="C23" s="1722"/>
      <c r="D23" s="1723"/>
      <c r="E23" s="1723"/>
      <c r="F23" s="1723"/>
      <c r="G23" s="1724"/>
      <c r="H23" s="1717"/>
      <c r="I23" s="1718"/>
      <c r="J23" s="30" t="s">
        <v>106</v>
      </c>
      <c r="K23" s="1719" t="s">
        <v>107</v>
      </c>
      <c r="L23" s="1720"/>
      <c r="M23" s="1721"/>
    </row>
    <row r="24" spans="2:13" ht="15" customHeight="1">
      <c r="B24" s="29" t="s">
        <v>109</v>
      </c>
      <c r="C24" s="1708" t="s">
        <v>110</v>
      </c>
      <c r="D24" s="1709"/>
      <c r="E24" s="1709"/>
      <c r="F24" s="1709"/>
      <c r="G24" s="1709"/>
      <c r="H24" s="1725"/>
      <c r="I24" s="1726"/>
      <c r="J24" s="32" t="s">
        <v>108</v>
      </c>
      <c r="K24" s="1727">
        <f>+C23</f>
        <v>0</v>
      </c>
      <c r="L24" s="1728"/>
      <c r="M24" s="1729"/>
    </row>
    <row r="25" spans="2:13">
      <c r="H25" s="1710"/>
      <c r="I25" s="1711"/>
      <c r="J25" s="30" t="s">
        <v>109</v>
      </c>
      <c r="K25" s="1712" t="s">
        <v>111</v>
      </c>
      <c r="L25" s="1713"/>
      <c r="M25" s="1714"/>
    </row>
  </sheetData>
  <mergeCells count="29">
    <mergeCell ref="B5:C5"/>
    <mergeCell ref="H5:M5"/>
    <mergeCell ref="E2:G3"/>
    <mergeCell ref="H2:I2"/>
    <mergeCell ref="J2:M3"/>
    <mergeCell ref="H3:I3"/>
    <mergeCell ref="B4:M4"/>
    <mergeCell ref="C22:G22"/>
    <mergeCell ref="H22:I22"/>
    <mergeCell ref="K22:M22"/>
    <mergeCell ref="D7:E7"/>
    <mergeCell ref="F7:H7"/>
    <mergeCell ref="K7:L7"/>
    <mergeCell ref="B9:G10"/>
    <mergeCell ref="H9:H10"/>
    <mergeCell ref="I9:L9"/>
    <mergeCell ref="M9:M10"/>
    <mergeCell ref="B11:G20"/>
    <mergeCell ref="H11:M11"/>
    <mergeCell ref="H12:H14"/>
    <mergeCell ref="C21:G21"/>
    <mergeCell ref="H25:I25"/>
    <mergeCell ref="K25:M25"/>
    <mergeCell ref="C23:G23"/>
    <mergeCell ref="H23:I23"/>
    <mergeCell ref="K23:M23"/>
    <mergeCell ref="C24:G24"/>
    <mergeCell ref="H24:I24"/>
    <mergeCell ref="K24:M24"/>
  </mergeCells>
  <printOptions horizontalCentered="1"/>
  <pageMargins left="0.19685039370078741" right="0.19685039370078741" top="0.39370078740157483" bottom="0.39370078740157483" header="0.31496062992125984" footer="0.31496062992125984"/>
  <pageSetup orientation="landscape" copies="19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25"/>
  <sheetViews>
    <sheetView showGridLines="0" view="pageBreakPreview" zoomScaleNormal="125" zoomScaleSheetLayoutView="100" workbookViewId="0">
      <selection activeCell="H9" sqref="H9:H10"/>
    </sheetView>
  </sheetViews>
  <sheetFormatPr baseColWidth="10" defaultColWidth="11.42578125" defaultRowHeight="12.75"/>
  <cols>
    <col min="1" max="1" width="1.7109375" style="10" customWidth="1"/>
    <col min="2" max="7" width="6.7109375" style="10" customWidth="1"/>
    <col min="8" max="8" width="38.7109375" style="10" customWidth="1"/>
    <col min="9" max="12" width="10.7109375" style="11" customWidth="1"/>
    <col min="13" max="13" width="12.7109375" style="11" customWidth="1"/>
    <col min="14" max="16384" width="11.42578125" style="10"/>
  </cols>
  <sheetData>
    <row r="1" spans="2:13" ht="5.0999999999999996" customHeight="1"/>
    <row r="2" spans="2:13" ht="30" customHeight="1">
      <c r="B2" s="12"/>
      <c r="C2" s="13"/>
      <c r="D2" s="13"/>
      <c r="E2" s="1759"/>
      <c r="F2" s="1759"/>
      <c r="G2" s="1760"/>
      <c r="H2" s="1763" t="s">
        <v>87</v>
      </c>
      <c r="I2" s="1764"/>
      <c r="J2" s="1765" t="s">
        <v>88</v>
      </c>
      <c r="K2" s="1766"/>
      <c r="L2" s="1766"/>
      <c r="M2" s="1767"/>
    </row>
    <row r="3" spans="2:13" ht="30" customHeight="1">
      <c r="B3" s="14"/>
      <c r="C3" s="15"/>
      <c r="D3" s="15"/>
      <c r="E3" s="1761"/>
      <c r="F3" s="1761"/>
      <c r="G3" s="1762"/>
      <c r="H3" s="1771" t="s">
        <v>89</v>
      </c>
      <c r="I3" s="1772"/>
      <c r="J3" s="1768"/>
      <c r="K3" s="1769"/>
      <c r="L3" s="1769"/>
      <c r="M3" s="1770"/>
    </row>
    <row r="4" spans="2:13" ht="9.9499999999999993" customHeight="1">
      <c r="B4" s="1773"/>
      <c r="C4" s="1774"/>
      <c r="D4" s="1774"/>
      <c r="E4" s="1774"/>
      <c r="F4" s="1774"/>
      <c r="G4" s="1774"/>
      <c r="H4" s="1774"/>
      <c r="I4" s="1774"/>
      <c r="J4" s="1774"/>
      <c r="K4" s="1774"/>
      <c r="L4" s="1774"/>
      <c r="M4" s="1775"/>
    </row>
    <row r="5" spans="2:13" ht="35.1" customHeight="1">
      <c r="B5" s="1755" t="s">
        <v>90</v>
      </c>
      <c r="C5" s="1755"/>
      <c r="D5" s="16"/>
      <c r="E5" s="152" t="s">
        <v>91</v>
      </c>
      <c r="F5" s="17"/>
      <c r="G5" s="18" t="s">
        <v>92</v>
      </c>
      <c r="H5" s="1756" t="str">
        <f>+PRESU!E3</f>
        <v>PENDIENTES CENTRO</v>
      </c>
      <c r="I5" s="1757"/>
      <c r="J5" s="1757"/>
      <c r="K5" s="1757"/>
      <c r="L5" s="1757"/>
      <c r="M5" s="1758"/>
    </row>
    <row r="6" spans="2:13" ht="9.9499999999999993" customHeight="1">
      <c r="B6" s="19"/>
      <c r="C6" s="20"/>
      <c r="D6" s="20"/>
      <c r="E6" s="20"/>
      <c r="F6" s="20"/>
      <c r="G6" s="20"/>
      <c r="H6" s="20"/>
      <c r="I6" s="21"/>
      <c r="J6" s="21"/>
      <c r="K6" s="21"/>
      <c r="L6" s="21"/>
      <c r="M6" s="22"/>
    </row>
    <row r="7" spans="2:13" ht="24.95" customHeight="1">
      <c r="B7" s="149" t="s">
        <v>93</v>
      </c>
      <c r="C7" s="23">
        <v>5</v>
      </c>
      <c r="D7" s="1745" t="s">
        <v>94</v>
      </c>
      <c r="E7" s="1746"/>
      <c r="F7" s="1747" t="str">
        <f>+[4]PRESU!C17</f>
        <v>Instalación de tapa de seguridad en lámina de acero cold-rolled e=3/8"</v>
      </c>
      <c r="G7" s="1748"/>
      <c r="H7" s="1749"/>
      <c r="I7" s="151" t="s">
        <v>95</v>
      </c>
      <c r="J7" s="24" t="str">
        <f>+PRESU!D20</f>
        <v>und</v>
      </c>
      <c r="K7" s="1750" t="s">
        <v>96</v>
      </c>
      <c r="L7" s="1751"/>
      <c r="M7" s="25">
        <f>SUM(M12:M17)</f>
        <v>5</v>
      </c>
    </row>
    <row r="8" spans="2:13" ht="9.9499999999999993" customHeight="1">
      <c r="B8" s="19"/>
      <c r="C8" s="20"/>
      <c r="D8" s="20"/>
      <c r="E8" s="20"/>
      <c r="F8" s="20"/>
      <c r="G8" s="20"/>
      <c r="H8" s="20"/>
      <c r="I8" s="21"/>
      <c r="J8" s="21"/>
      <c r="K8" s="21"/>
      <c r="L8" s="21"/>
      <c r="M8" s="22"/>
    </row>
    <row r="9" spans="2:13" ht="15" customHeight="1">
      <c r="B9" s="1752" t="s">
        <v>97</v>
      </c>
      <c r="C9" s="1752"/>
      <c r="D9" s="1752"/>
      <c r="E9" s="1752"/>
      <c r="F9" s="1752"/>
      <c r="G9" s="1752"/>
      <c r="H9" s="1752" t="s">
        <v>98</v>
      </c>
      <c r="I9" s="1754" t="s">
        <v>99</v>
      </c>
      <c r="J9" s="1754"/>
      <c r="K9" s="1754"/>
      <c r="L9" s="1750"/>
      <c r="M9" s="1730" t="s">
        <v>100</v>
      </c>
    </row>
    <row r="10" spans="2:13" ht="15" customHeight="1">
      <c r="B10" s="1752"/>
      <c r="C10" s="1752"/>
      <c r="D10" s="1752"/>
      <c r="E10" s="1752"/>
      <c r="F10" s="1752"/>
      <c r="G10" s="1752"/>
      <c r="H10" s="1753"/>
      <c r="I10" s="150" t="s">
        <v>0</v>
      </c>
      <c r="J10" s="150" t="s">
        <v>101</v>
      </c>
      <c r="K10" s="150" t="s">
        <v>102</v>
      </c>
      <c r="L10" s="148" t="s">
        <v>103</v>
      </c>
      <c r="M10" s="1730"/>
    </row>
    <row r="11" spans="2:13" ht="24" customHeight="1">
      <c r="B11" s="1731"/>
      <c r="C11" s="1732"/>
      <c r="D11" s="1732"/>
      <c r="E11" s="1732"/>
      <c r="F11" s="1732"/>
      <c r="G11" s="1733"/>
      <c r="H11" s="1740" t="s">
        <v>128</v>
      </c>
      <c r="I11" s="1741"/>
      <c r="J11" s="1741"/>
      <c r="K11" s="1741"/>
      <c r="L11" s="1741"/>
      <c r="M11" s="1742"/>
    </row>
    <row r="12" spans="2:13" ht="25.5" customHeight="1">
      <c r="B12" s="1734"/>
      <c r="C12" s="1735"/>
      <c r="D12" s="1735"/>
      <c r="E12" s="1735"/>
      <c r="F12" s="1735"/>
      <c r="G12" s="1736"/>
      <c r="H12" s="194" t="s">
        <v>155</v>
      </c>
      <c r="I12" s="83">
        <v>5</v>
      </c>
      <c r="J12" s="83"/>
      <c r="K12" s="83"/>
      <c r="L12" s="83"/>
      <c r="M12" s="84">
        <f>+PRODUCT(I12:L12)</f>
        <v>5</v>
      </c>
    </row>
    <row r="13" spans="2:13">
      <c r="B13" s="1734"/>
      <c r="C13" s="1735"/>
      <c r="D13" s="1735"/>
      <c r="E13" s="1735"/>
      <c r="F13" s="1735"/>
      <c r="G13" s="1736"/>
      <c r="H13" s="26"/>
      <c r="I13" s="83"/>
      <c r="J13" s="83"/>
      <c r="K13" s="83"/>
      <c r="L13" s="83"/>
      <c r="M13" s="84">
        <f>+PRODUCT(I13:L13)</f>
        <v>0</v>
      </c>
    </row>
    <row r="14" spans="2:13">
      <c r="B14" s="1734"/>
      <c r="C14" s="1735"/>
      <c r="D14" s="1735"/>
      <c r="E14" s="1735"/>
      <c r="F14" s="1735"/>
      <c r="G14" s="1736"/>
      <c r="H14" s="26"/>
      <c r="I14" s="83"/>
      <c r="J14" s="83"/>
      <c r="K14" s="83"/>
      <c r="L14" s="83"/>
      <c r="M14" s="84">
        <f>+PRODUCT(I14:L14)</f>
        <v>0</v>
      </c>
    </row>
    <row r="15" spans="2:13" ht="15" customHeight="1">
      <c r="B15" s="1734"/>
      <c r="C15" s="1735"/>
      <c r="D15" s="1735"/>
      <c r="E15" s="1735"/>
      <c r="F15" s="1735"/>
      <c r="G15" s="1736"/>
      <c r="H15" s="26"/>
      <c r="I15" s="83"/>
      <c r="J15" s="83"/>
      <c r="K15" s="83"/>
      <c r="L15" s="83"/>
      <c r="M15" s="84">
        <f t="shared" ref="M15:M21" si="0">+K15</f>
        <v>0</v>
      </c>
    </row>
    <row r="16" spans="2:13" ht="15" customHeight="1">
      <c r="B16" s="1734"/>
      <c r="C16" s="1735"/>
      <c r="D16" s="1735"/>
      <c r="E16" s="1735"/>
      <c r="F16" s="1735"/>
      <c r="G16" s="1736"/>
      <c r="H16" s="26"/>
      <c r="I16" s="83"/>
      <c r="J16" s="83"/>
      <c r="K16" s="83"/>
      <c r="L16" s="83"/>
      <c r="M16" s="84">
        <f t="shared" si="0"/>
        <v>0</v>
      </c>
    </row>
    <row r="17" spans="2:13" ht="15" customHeight="1">
      <c r="B17" s="1734"/>
      <c r="C17" s="1735"/>
      <c r="D17" s="1735"/>
      <c r="E17" s="1735"/>
      <c r="F17" s="1735"/>
      <c r="G17" s="1736"/>
      <c r="H17" s="26"/>
      <c r="I17" s="83"/>
      <c r="J17" s="83"/>
      <c r="K17" s="83"/>
      <c r="L17" s="83"/>
      <c r="M17" s="84">
        <f t="shared" si="0"/>
        <v>0</v>
      </c>
    </row>
    <row r="18" spans="2:13" ht="15" customHeight="1">
      <c r="B18" s="1734"/>
      <c r="C18" s="1735"/>
      <c r="D18" s="1735"/>
      <c r="E18" s="1735"/>
      <c r="F18" s="1735"/>
      <c r="G18" s="1736"/>
      <c r="H18" s="26"/>
      <c r="I18" s="83"/>
      <c r="J18" s="83"/>
      <c r="K18" s="83"/>
      <c r="L18" s="83"/>
      <c r="M18" s="84">
        <f t="shared" si="0"/>
        <v>0</v>
      </c>
    </row>
    <row r="19" spans="2:13" ht="15" customHeight="1">
      <c r="B19" s="1734"/>
      <c r="C19" s="1735"/>
      <c r="D19" s="1735"/>
      <c r="E19" s="1735"/>
      <c r="F19" s="1735"/>
      <c r="G19" s="1736"/>
      <c r="H19" s="26"/>
      <c r="I19" s="83"/>
      <c r="J19" s="83"/>
      <c r="K19" s="83"/>
      <c r="L19" s="83"/>
      <c r="M19" s="84">
        <f t="shared" si="0"/>
        <v>0</v>
      </c>
    </row>
    <row r="20" spans="2:13" ht="15" customHeight="1">
      <c r="B20" s="1734"/>
      <c r="C20" s="1735"/>
      <c r="D20" s="1735"/>
      <c r="E20" s="1735"/>
      <c r="F20" s="1735"/>
      <c r="G20" s="1736"/>
      <c r="H20" s="26"/>
      <c r="I20" s="83"/>
      <c r="J20" s="83"/>
      <c r="K20" s="83"/>
      <c r="L20" s="83"/>
      <c r="M20" s="84">
        <f t="shared" si="0"/>
        <v>0</v>
      </c>
    </row>
    <row r="21" spans="2:13" ht="15" customHeight="1">
      <c r="B21" s="1737"/>
      <c r="C21" s="1738"/>
      <c r="D21" s="1738"/>
      <c r="E21" s="1738"/>
      <c r="F21" s="1738"/>
      <c r="G21" s="1739"/>
      <c r="H21" s="26"/>
      <c r="I21" s="83"/>
      <c r="J21" s="83"/>
      <c r="K21" s="83"/>
      <c r="L21" s="83"/>
      <c r="M21" s="84">
        <f t="shared" si="0"/>
        <v>0</v>
      </c>
    </row>
    <row r="22" spans="2:13" ht="15" customHeight="1">
      <c r="B22" s="29" t="s">
        <v>104</v>
      </c>
      <c r="C22" s="1722"/>
      <c r="D22" s="1723"/>
      <c r="E22" s="1723"/>
      <c r="F22" s="1723"/>
      <c r="G22" s="1723"/>
      <c r="H22" s="1743" t="s">
        <v>105</v>
      </c>
      <c r="I22" s="1744"/>
      <c r="J22" s="30" t="s">
        <v>104</v>
      </c>
      <c r="K22" s="1719"/>
      <c r="L22" s="1720"/>
      <c r="M22" s="1721"/>
    </row>
    <row r="23" spans="2:13" ht="15" customHeight="1">
      <c r="B23" s="29" t="s">
        <v>106</v>
      </c>
      <c r="C23" s="1715"/>
      <c r="D23" s="1716"/>
      <c r="E23" s="1716"/>
      <c r="F23" s="1716"/>
      <c r="G23" s="1716"/>
      <c r="H23" s="1717"/>
      <c r="I23" s="1718"/>
      <c r="J23" s="30" t="s">
        <v>106</v>
      </c>
      <c r="K23" s="1719" t="s">
        <v>107</v>
      </c>
      <c r="L23" s="1720"/>
      <c r="M23" s="1721"/>
    </row>
    <row r="24" spans="2:13" ht="15" customHeight="1">
      <c r="B24" s="31" t="s">
        <v>108</v>
      </c>
      <c r="C24" s="1722"/>
      <c r="D24" s="1723"/>
      <c r="E24" s="1723"/>
      <c r="F24" s="1723"/>
      <c r="G24" s="1724"/>
      <c r="H24" s="1725"/>
      <c r="I24" s="1726"/>
      <c r="J24" s="32" t="s">
        <v>108</v>
      </c>
      <c r="K24" s="1727">
        <f>+C24</f>
        <v>0</v>
      </c>
      <c r="L24" s="1728"/>
      <c r="M24" s="1729"/>
    </row>
    <row r="25" spans="2:13" ht="15" customHeight="1">
      <c r="B25" s="29" t="s">
        <v>109</v>
      </c>
      <c r="C25" s="1708" t="s">
        <v>110</v>
      </c>
      <c r="D25" s="1709"/>
      <c r="E25" s="1709"/>
      <c r="F25" s="1709"/>
      <c r="G25" s="1709"/>
      <c r="H25" s="1710"/>
      <c r="I25" s="1711"/>
      <c r="J25" s="30" t="s">
        <v>109</v>
      </c>
      <c r="K25" s="1712" t="s">
        <v>111</v>
      </c>
      <c r="L25" s="1713"/>
      <c r="M25" s="1714"/>
    </row>
  </sheetData>
  <mergeCells count="28">
    <mergeCell ref="B5:C5"/>
    <mergeCell ref="H5:M5"/>
    <mergeCell ref="E2:G3"/>
    <mergeCell ref="H2:I2"/>
    <mergeCell ref="J2:M3"/>
    <mergeCell ref="H3:I3"/>
    <mergeCell ref="B4:M4"/>
    <mergeCell ref="D7:E7"/>
    <mergeCell ref="F7:H7"/>
    <mergeCell ref="K7:L7"/>
    <mergeCell ref="B9:G10"/>
    <mergeCell ref="H9:H10"/>
    <mergeCell ref="I9:L9"/>
    <mergeCell ref="M9:M10"/>
    <mergeCell ref="B11:G21"/>
    <mergeCell ref="H11:M11"/>
    <mergeCell ref="C22:G22"/>
    <mergeCell ref="H22:I22"/>
    <mergeCell ref="K22:M22"/>
    <mergeCell ref="C25:G25"/>
    <mergeCell ref="H25:I25"/>
    <mergeCell ref="K25:M25"/>
    <mergeCell ref="C23:G23"/>
    <mergeCell ref="H23:I23"/>
    <mergeCell ref="K23:M23"/>
    <mergeCell ref="C24:G24"/>
    <mergeCell ref="H24:I24"/>
    <mergeCell ref="K24:M24"/>
  </mergeCells>
  <printOptions horizontalCentered="1"/>
  <pageMargins left="0.19685039370078741" right="0.19685039370078741" top="0.39370078740157483" bottom="0.39370078740157483" header="0.31496062992125984" footer="0.31496062992125984"/>
  <pageSetup orientation="landscape" copies="19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M25"/>
  <sheetViews>
    <sheetView showGridLines="0" view="pageBreakPreview" zoomScaleNormal="125" zoomScaleSheetLayoutView="100" workbookViewId="0">
      <selection activeCell="H15" sqref="H15"/>
    </sheetView>
  </sheetViews>
  <sheetFormatPr baseColWidth="10" defaultColWidth="11.42578125" defaultRowHeight="12.75"/>
  <cols>
    <col min="1" max="1" width="1.7109375" style="10" customWidth="1"/>
    <col min="2" max="7" width="6.7109375" style="10" customWidth="1"/>
    <col min="8" max="8" width="38.7109375" style="10" customWidth="1"/>
    <col min="9" max="12" width="10.7109375" style="11" customWidth="1"/>
    <col min="13" max="13" width="12.7109375" style="11" customWidth="1"/>
    <col min="14" max="16384" width="11.42578125" style="10"/>
  </cols>
  <sheetData>
    <row r="1" spans="2:13" ht="5.0999999999999996" customHeight="1"/>
    <row r="2" spans="2:13" ht="30" customHeight="1">
      <c r="B2" s="12"/>
      <c r="C2" s="13"/>
      <c r="D2" s="13"/>
      <c r="E2" s="1759"/>
      <c r="F2" s="1759"/>
      <c r="G2" s="1760"/>
      <c r="H2" s="1763" t="s">
        <v>87</v>
      </c>
      <c r="I2" s="1764"/>
      <c r="J2" s="1765" t="s">
        <v>88</v>
      </c>
      <c r="K2" s="1766"/>
      <c r="L2" s="1766"/>
      <c r="M2" s="1767"/>
    </row>
    <row r="3" spans="2:13" ht="30" customHeight="1">
      <c r="B3" s="14"/>
      <c r="C3" s="15"/>
      <c r="D3" s="15"/>
      <c r="E3" s="1761"/>
      <c r="F3" s="1761"/>
      <c r="G3" s="1762"/>
      <c r="H3" s="1771" t="s">
        <v>89</v>
      </c>
      <c r="I3" s="1772"/>
      <c r="J3" s="1768"/>
      <c r="K3" s="1769"/>
      <c r="L3" s="1769"/>
      <c r="M3" s="1770"/>
    </row>
    <row r="4" spans="2:13" ht="9.9499999999999993" customHeight="1">
      <c r="B4" s="1773"/>
      <c r="C4" s="1774"/>
      <c r="D4" s="1774"/>
      <c r="E4" s="1774"/>
      <c r="F4" s="1774"/>
      <c r="G4" s="1774"/>
      <c r="H4" s="1774"/>
      <c r="I4" s="1774"/>
      <c r="J4" s="1774"/>
      <c r="K4" s="1774"/>
      <c r="L4" s="1774"/>
      <c r="M4" s="1775"/>
    </row>
    <row r="5" spans="2:13" ht="35.1" customHeight="1">
      <c r="B5" s="1755" t="s">
        <v>90</v>
      </c>
      <c r="C5" s="1755"/>
      <c r="D5" s="16"/>
      <c r="E5" s="152" t="s">
        <v>91</v>
      </c>
      <c r="F5" s="17"/>
      <c r="G5" s="18" t="s">
        <v>92</v>
      </c>
      <c r="H5" s="1756" t="str">
        <f>+PRESU!E3</f>
        <v>PENDIENTES CENTRO</v>
      </c>
      <c r="I5" s="1757"/>
      <c r="J5" s="1757"/>
      <c r="K5" s="1757"/>
      <c r="L5" s="1757"/>
      <c r="M5" s="1758"/>
    </row>
    <row r="6" spans="2:13" ht="9.9499999999999993" customHeight="1">
      <c r="B6" s="19"/>
      <c r="C6" s="20"/>
      <c r="D6" s="20"/>
      <c r="E6" s="20"/>
      <c r="F6" s="20"/>
      <c r="G6" s="20"/>
      <c r="H6" s="20"/>
      <c r="I6" s="21"/>
      <c r="J6" s="21"/>
      <c r="K6" s="21"/>
      <c r="L6" s="21"/>
      <c r="M6" s="22"/>
    </row>
    <row r="7" spans="2:13" ht="24.95" customHeight="1">
      <c r="B7" s="149" t="s">
        <v>93</v>
      </c>
      <c r="C7" s="23">
        <v>6</v>
      </c>
      <c r="D7" s="1745" t="s">
        <v>94</v>
      </c>
      <c r="E7" s="1746"/>
      <c r="F7" s="1747" t="str">
        <f>+[4]PRESU!C18</f>
        <v>Desmonte y sello de tapa de seguridad e=15cm</v>
      </c>
      <c r="G7" s="1748"/>
      <c r="H7" s="1749"/>
      <c r="I7" s="151" t="s">
        <v>95</v>
      </c>
      <c r="J7" s="24" t="str">
        <f>+PRESU!D21</f>
        <v>und</v>
      </c>
      <c r="K7" s="1750" t="s">
        <v>96</v>
      </c>
      <c r="L7" s="1751"/>
      <c r="M7" s="25">
        <f>SUM(M12:M17)</f>
        <v>2</v>
      </c>
    </row>
    <row r="8" spans="2:13" ht="9.9499999999999993" customHeight="1">
      <c r="B8" s="19"/>
      <c r="C8" s="20"/>
      <c r="D8" s="20"/>
      <c r="E8" s="20"/>
      <c r="F8" s="20"/>
      <c r="G8" s="20"/>
      <c r="H8" s="20"/>
      <c r="I8" s="21"/>
      <c r="J8" s="21"/>
      <c r="K8" s="21"/>
      <c r="L8" s="21"/>
      <c r="M8" s="22"/>
    </row>
    <row r="9" spans="2:13" ht="15" customHeight="1">
      <c r="B9" s="1752" t="s">
        <v>97</v>
      </c>
      <c r="C9" s="1752"/>
      <c r="D9" s="1752"/>
      <c r="E9" s="1752"/>
      <c r="F9" s="1752"/>
      <c r="G9" s="1752"/>
      <c r="H9" s="1752" t="s">
        <v>98</v>
      </c>
      <c r="I9" s="1754" t="s">
        <v>99</v>
      </c>
      <c r="J9" s="1754"/>
      <c r="K9" s="1754"/>
      <c r="L9" s="1750"/>
      <c r="M9" s="1730" t="s">
        <v>100</v>
      </c>
    </row>
    <row r="10" spans="2:13" ht="15" customHeight="1">
      <c r="B10" s="1752"/>
      <c r="C10" s="1752"/>
      <c r="D10" s="1752"/>
      <c r="E10" s="1752"/>
      <c r="F10" s="1752"/>
      <c r="G10" s="1752"/>
      <c r="H10" s="1753"/>
      <c r="I10" s="150" t="s">
        <v>0</v>
      </c>
      <c r="J10" s="150" t="s">
        <v>101</v>
      </c>
      <c r="K10" s="150" t="s">
        <v>102</v>
      </c>
      <c r="L10" s="148" t="s">
        <v>103</v>
      </c>
      <c r="M10" s="1730"/>
    </row>
    <row r="11" spans="2:13" ht="25.5" customHeight="1">
      <c r="B11" s="1731"/>
      <c r="C11" s="1732"/>
      <c r="D11" s="1732"/>
      <c r="E11" s="1732"/>
      <c r="F11" s="1732"/>
      <c r="G11" s="1733"/>
      <c r="H11" s="1740" t="s">
        <v>128</v>
      </c>
      <c r="I11" s="1741"/>
      <c r="J11" s="1741"/>
      <c r="K11" s="1741"/>
      <c r="L11" s="1741"/>
      <c r="M11" s="1742"/>
    </row>
    <row r="12" spans="2:13" ht="25.5" customHeight="1">
      <c r="B12" s="1734"/>
      <c r="C12" s="1735"/>
      <c r="D12" s="1735"/>
      <c r="E12" s="1735"/>
      <c r="F12" s="1735"/>
      <c r="G12" s="1736"/>
      <c r="H12" s="194" t="s">
        <v>155</v>
      </c>
      <c r="I12" s="85">
        <v>2</v>
      </c>
      <c r="J12" s="83"/>
      <c r="K12" s="83"/>
      <c r="L12" s="83"/>
      <c r="M12" s="84">
        <f>+PRODUCT(I12:L12)</f>
        <v>2</v>
      </c>
    </row>
    <row r="13" spans="2:13">
      <c r="B13" s="1734"/>
      <c r="C13" s="1735"/>
      <c r="D13" s="1735"/>
      <c r="E13" s="1735"/>
      <c r="F13" s="1735"/>
      <c r="G13" s="1736"/>
      <c r="H13" s="26"/>
      <c r="I13" s="83"/>
      <c r="J13" s="83"/>
      <c r="K13" s="83"/>
      <c r="L13" s="83"/>
      <c r="M13" s="84">
        <f>+PRODUCT(I13:L13)</f>
        <v>0</v>
      </c>
    </row>
    <row r="14" spans="2:13">
      <c r="B14" s="1734"/>
      <c r="C14" s="1735"/>
      <c r="D14" s="1735"/>
      <c r="E14" s="1735"/>
      <c r="F14" s="1735"/>
      <c r="G14" s="1736"/>
      <c r="H14" s="26"/>
      <c r="I14" s="83"/>
      <c r="J14" s="83"/>
      <c r="K14" s="83"/>
      <c r="L14" s="83"/>
      <c r="M14" s="84">
        <f>+PRODUCT(I14:L14)</f>
        <v>0</v>
      </c>
    </row>
    <row r="15" spans="2:13" ht="15" customHeight="1">
      <c r="B15" s="1734"/>
      <c r="C15" s="1735"/>
      <c r="D15" s="1735"/>
      <c r="E15" s="1735"/>
      <c r="F15" s="1735"/>
      <c r="G15" s="1736"/>
      <c r="H15" s="26"/>
      <c r="I15" s="83"/>
      <c r="J15" s="83"/>
      <c r="K15" s="83"/>
      <c r="L15" s="83"/>
      <c r="M15" s="84">
        <f t="shared" ref="M15:M21" si="0">+K15</f>
        <v>0</v>
      </c>
    </row>
    <row r="16" spans="2:13" ht="15" customHeight="1">
      <c r="B16" s="1734"/>
      <c r="C16" s="1735"/>
      <c r="D16" s="1735"/>
      <c r="E16" s="1735"/>
      <c r="F16" s="1735"/>
      <c r="G16" s="1736"/>
      <c r="H16" s="26"/>
      <c r="I16" s="83"/>
      <c r="J16" s="83"/>
      <c r="K16" s="83"/>
      <c r="L16" s="83"/>
      <c r="M16" s="84">
        <f t="shared" si="0"/>
        <v>0</v>
      </c>
    </row>
    <row r="17" spans="2:13" ht="15" customHeight="1">
      <c r="B17" s="1734"/>
      <c r="C17" s="1735"/>
      <c r="D17" s="1735"/>
      <c r="E17" s="1735"/>
      <c r="F17" s="1735"/>
      <c r="G17" s="1736"/>
      <c r="H17" s="26"/>
      <c r="I17" s="83"/>
      <c r="J17" s="83"/>
      <c r="K17" s="83"/>
      <c r="L17" s="83"/>
      <c r="M17" s="84">
        <f t="shared" si="0"/>
        <v>0</v>
      </c>
    </row>
    <row r="18" spans="2:13" ht="15" customHeight="1">
      <c r="B18" s="1734"/>
      <c r="C18" s="1735"/>
      <c r="D18" s="1735"/>
      <c r="E18" s="1735"/>
      <c r="F18" s="1735"/>
      <c r="G18" s="1736"/>
      <c r="H18" s="26"/>
      <c r="I18" s="83"/>
      <c r="J18" s="83"/>
      <c r="K18" s="83"/>
      <c r="L18" s="83"/>
      <c r="M18" s="84">
        <f t="shared" si="0"/>
        <v>0</v>
      </c>
    </row>
    <row r="19" spans="2:13" ht="15" customHeight="1">
      <c r="B19" s="1734"/>
      <c r="C19" s="1735"/>
      <c r="D19" s="1735"/>
      <c r="E19" s="1735"/>
      <c r="F19" s="1735"/>
      <c r="G19" s="1736"/>
      <c r="H19" s="26"/>
      <c r="I19" s="83"/>
      <c r="J19" s="83"/>
      <c r="K19" s="83"/>
      <c r="L19" s="83"/>
      <c r="M19" s="84">
        <f t="shared" si="0"/>
        <v>0</v>
      </c>
    </row>
    <row r="20" spans="2:13" ht="15" customHeight="1">
      <c r="B20" s="1734"/>
      <c r="C20" s="1735"/>
      <c r="D20" s="1735"/>
      <c r="E20" s="1735"/>
      <c r="F20" s="1735"/>
      <c r="G20" s="1736"/>
      <c r="H20" s="26"/>
      <c r="I20" s="83"/>
      <c r="J20" s="83"/>
      <c r="K20" s="83"/>
      <c r="L20" s="83"/>
      <c r="M20" s="84">
        <f t="shared" si="0"/>
        <v>0</v>
      </c>
    </row>
    <row r="21" spans="2:13" ht="15" customHeight="1">
      <c r="B21" s="1737"/>
      <c r="C21" s="1738"/>
      <c r="D21" s="1738"/>
      <c r="E21" s="1738"/>
      <c r="F21" s="1738"/>
      <c r="G21" s="1739"/>
      <c r="H21" s="26"/>
      <c r="I21" s="83"/>
      <c r="J21" s="83"/>
      <c r="K21" s="83"/>
      <c r="L21" s="83"/>
      <c r="M21" s="84">
        <f t="shared" si="0"/>
        <v>0</v>
      </c>
    </row>
    <row r="22" spans="2:13" ht="15" customHeight="1">
      <c r="B22" s="29" t="s">
        <v>104</v>
      </c>
      <c r="C22" s="1722"/>
      <c r="D22" s="1723"/>
      <c r="E22" s="1723"/>
      <c r="F22" s="1723"/>
      <c r="G22" s="1723"/>
      <c r="H22" s="1743" t="s">
        <v>105</v>
      </c>
      <c r="I22" s="1744"/>
      <c r="J22" s="30" t="s">
        <v>104</v>
      </c>
      <c r="K22" s="1719"/>
      <c r="L22" s="1720"/>
      <c r="M22" s="1721"/>
    </row>
    <row r="23" spans="2:13" ht="15" customHeight="1">
      <c r="B23" s="29" t="s">
        <v>106</v>
      </c>
      <c r="C23" s="1715"/>
      <c r="D23" s="1716"/>
      <c r="E23" s="1716"/>
      <c r="F23" s="1716"/>
      <c r="G23" s="1716"/>
      <c r="H23" s="1717"/>
      <c r="I23" s="1718"/>
      <c r="J23" s="30" t="s">
        <v>106</v>
      </c>
      <c r="K23" s="1719" t="s">
        <v>107</v>
      </c>
      <c r="L23" s="1720"/>
      <c r="M23" s="1721"/>
    </row>
    <row r="24" spans="2:13" ht="15" customHeight="1">
      <c r="B24" s="31" t="s">
        <v>108</v>
      </c>
      <c r="C24" s="1722"/>
      <c r="D24" s="1723"/>
      <c r="E24" s="1723"/>
      <c r="F24" s="1723"/>
      <c r="G24" s="1724"/>
      <c r="H24" s="1725"/>
      <c r="I24" s="1726"/>
      <c r="J24" s="32" t="s">
        <v>108</v>
      </c>
      <c r="K24" s="1727">
        <f>+C24</f>
        <v>0</v>
      </c>
      <c r="L24" s="1728"/>
      <c r="M24" s="1729"/>
    </row>
    <row r="25" spans="2:13" ht="15" customHeight="1">
      <c r="B25" s="29" t="s">
        <v>109</v>
      </c>
      <c r="C25" s="1708" t="s">
        <v>110</v>
      </c>
      <c r="D25" s="1709"/>
      <c r="E25" s="1709"/>
      <c r="F25" s="1709"/>
      <c r="G25" s="1709"/>
      <c r="H25" s="1710"/>
      <c r="I25" s="1711"/>
      <c r="J25" s="30" t="s">
        <v>109</v>
      </c>
      <c r="K25" s="1712" t="s">
        <v>111</v>
      </c>
      <c r="L25" s="1713"/>
      <c r="M25" s="1714"/>
    </row>
  </sheetData>
  <mergeCells count="28">
    <mergeCell ref="B5:C5"/>
    <mergeCell ref="H5:M5"/>
    <mergeCell ref="E2:G3"/>
    <mergeCell ref="H2:I2"/>
    <mergeCell ref="J2:M3"/>
    <mergeCell ref="H3:I3"/>
    <mergeCell ref="B4:M4"/>
    <mergeCell ref="D7:E7"/>
    <mergeCell ref="F7:H7"/>
    <mergeCell ref="K7:L7"/>
    <mergeCell ref="B9:G10"/>
    <mergeCell ref="H9:H10"/>
    <mergeCell ref="I9:L9"/>
    <mergeCell ref="M9:M10"/>
    <mergeCell ref="B11:G21"/>
    <mergeCell ref="H11:M11"/>
    <mergeCell ref="C22:G22"/>
    <mergeCell ref="H22:I22"/>
    <mergeCell ref="K22:M22"/>
    <mergeCell ref="C25:G25"/>
    <mergeCell ref="H25:I25"/>
    <mergeCell ref="K25:M25"/>
    <mergeCell ref="C23:G23"/>
    <mergeCell ref="H23:I23"/>
    <mergeCell ref="K23:M23"/>
    <mergeCell ref="C24:G24"/>
    <mergeCell ref="H24:I24"/>
    <mergeCell ref="K24:M24"/>
  </mergeCells>
  <printOptions horizontalCentered="1"/>
  <pageMargins left="0.19685039370078741" right="0.19685039370078741" top="0.39370078740157483" bottom="0.39370078740157483" header="0.31496062992125984" footer="0.31496062992125984"/>
  <pageSetup orientation="landscape" copies="1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13</vt:i4>
      </vt:variant>
    </vt:vector>
  </HeadingPairs>
  <TitlesOfParts>
    <vt:vector size="24" baseType="lpstr">
      <vt:lpstr>A.U.  14 A 18</vt:lpstr>
      <vt:lpstr>PRESU (14A18),(11A14+)</vt:lpstr>
      <vt:lpstr>A.U. </vt:lpstr>
      <vt:lpstr>PRESU</vt:lpstr>
      <vt:lpstr>2</vt:lpstr>
      <vt:lpstr>3</vt:lpstr>
      <vt:lpstr>4</vt:lpstr>
      <vt:lpstr>5</vt:lpstr>
      <vt:lpstr>6</vt:lpstr>
      <vt:lpstr>APUS OCS 130</vt:lpstr>
      <vt:lpstr>A.U. 11 A 14</vt:lpstr>
      <vt:lpstr>'2'!Área_de_impresión</vt:lpstr>
      <vt:lpstr>'3'!Área_de_impresión</vt:lpstr>
      <vt:lpstr>'4'!Área_de_impresión</vt:lpstr>
      <vt:lpstr>'5'!Área_de_impresión</vt:lpstr>
      <vt:lpstr>'6'!Área_de_impresión</vt:lpstr>
      <vt:lpstr>'A.U. '!Área_de_impresión</vt:lpstr>
      <vt:lpstr>'A.U.  14 A 18'!Área_de_impresión</vt:lpstr>
      <vt:lpstr>'A.U. 11 A 14'!Área_de_impresión</vt:lpstr>
      <vt:lpstr>'2'!Títulos_a_imprimir</vt:lpstr>
      <vt:lpstr>'3'!Títulos_a_imprimir</vt:lpstr>
      <vt:lpstr>'4'!Títulos_a_imprimir</vt:lpstr>
      <vt:lpstr>'5'!Títulos_a_imprimir</vt:lpstr>
      <vt:lpstr>'6'!Títulos_a_imprimir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Milena Marin Jaramillo</dc:creator>
  <cp:lastModifiedBy>Edwin Alfonso Cardona Rodriguez</cp:lastModifiedBy>
  <dcterms:created xsi:type="dcterms:W3CDTF">2020-02-21T18:17:11Z</dcterms:created>
  <dcterms:modified xsi:type="dcterms:W3CDTF">2021-11-10T13:56:28Z</dcterms:modified>
</cp:coreProperties>
</file>